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g926nh+JqF5tAdzKFcPdSDgKtclpJIzyzwdnkir6xfiyHAuR1H46voloOgU/mpdeN7uH4Y6VZ1JF9DlRP4taIA==" workbookSaltValue="u2uZWI6Tm3Bqy0gqcU8N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EP19" i="8"/>
  <c r="EP19" i="19"/>
  <c r="AT17" i="20"/>
  <c r="AL9" i="11"/>
  <c r="F9" i="2"/>
  <c r="N13" i="2"/>
  <c r="AL12" i="11"/>
  <c r="T13" i="12"/>
  <c r="T13" i="16"/>
  <c r="T13" i="20"/>
  <c r="AY18" i="8"/>
  <c r="BF9" i="8"/>
  <c r="J18" i="17"/>
  <c r="BA18" i="13"/>
  <c r="AH20" i="20"/>
  <c r="AL20" i="20"/>
  <c r="AB20" i="20"/>
  <c r="AO20" i="20"/>
  <c r="AN20" i="20"/>
  <c r="Y20" i="20"/>
  <c r="U10" i="11"/>
  <c r="T19" i="8" l="1"/>
  <c r="AJ19" i="8"/>
  <c r="R19" i="8"/>
  <c r="BD16" i="8"/>
  <c r="H13" i="12"/>
  <c r="AC10" i="11"/>
  <c r="AY13" i="8"/>
  <c r="B10" i="6"/>
  <c r="D10" i="6"/>
  <c r="M13" i="2"/>
  <c r="K18" i="2"/>
  <c r="H12" i="7"/>
  <c r="E12" i="6"/>
  <c r="AO12" i="11"/>
  <c r="H12" i="2"/>
  <c r="K15" i="7"/>
  <c r="L9" i="14"/>
  <c r="C10" i="6"/>
  <c r="I10" i="12" s="1"/>
  <c r="AO17" i="11"/>
  <c r="L16" i="14"/>
  <c r="C17" i="6"/>
  <c r="BB13" i="13"/>
  <c r="BF15" i="13"/>
  <c r="BG16" i="13"/>
  <c r="BE16" i="13"/>
  <c r="L17" i="14"/>
  <c r="F15" i="17"/>
  <c r="AQ15" i="17" s="1"/>
  <c r="L12" i="14"/>
  <c r="BA13" i="13"/>
  <c r="BG13" i="13" s="1"/>
  <c r="R8" i="9"/>
  <c r="S16" i="14" s="1"/>
  <c r="V16" i="14" s="1"/>
  <c r="S10" i="17"/>
  <c r="V15" i="20"/>
  <c r="V18" i="20" s="1"/>
  <c r="X12" i="17"/>
  <c r="AA11" i="16"/>
  <c r="S11" i="17"/>
  <c r="AZ17" i="11"/>
  <c r="X12" i="16"/>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BD15" i="8"/>
  <c r="H15" i="7" s="1"/>
  <c r="AM12" i="11"/>
  <c r="D17" i="2"/>
  <c r="AM16" i="11"/>
  <c r="L19" i="8"/>
  <c r="J12" i="2"/>
  <c r="E18" i="12"/>
  <c r="B18" i="2"/>
  <c r="G17" i="3"/>
  <c r="I10" i="3"/>
  <c r="D13" i="5"/>
  <c r="BF11" i="8"/>
  <c r="BE12" i="8"/>
  <c r="I12" i="7" s="1"/>
  <c r="BE15" i="8"/>
  <c r="AO15" i="17"/>
  <c r="C16" i="6"/>
  <c r="U19" i="8"/>
  <c r="Y19" i="8"/>
  <c r="AI19" i="8"/>
  <c r="BK19" i="8"/>
  <c r="B11" i="6"/>
  <c r="C12" i="14"/>
  <c r="K12" i="14" s="1"/>
  <c r="K18" i="11"/>
  <c r="E9" i="6"/>
  <c r="I9" i="7"/>
  <c r="H9" i="7"/>
  <c r="K9" i="7"/>
  <c r="AO10" i="17"/>
  <c r="AO12" i="1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J13" i="2"/>
  <c r="BD13" i="13"/>
  <c r="K9" i="12"/>
  <c r="L12" i="2"/>
  <c r="AZ11" i="11"/>
  <c r="V15" i="16"/>
  <c r="X17" i="17"/>
  <c r="AA16" i="16"/>
  <c r="L11" i="2"/>
  <c r="AA12" i="21"/>
  <c r="U10" i="21"/>
  <c r="T17" i="20"/>
  <c r="X9" i="17"/>
  <c r="AA15" i="16"/>
  <c r="X16" i="17"/>
  <c r="S15" i="14"/>
  <c r="V15" i="14" s="1"/>
  <c r="R16" i="14"/>
  <c r="R10" i="14"/>
  <c r="S10" i="14"/>
  <c r="V10" i="14" s="1"/>
  <c r="V10" i="21"/>
  <c r="X13" i="17"/>
  <c r="AM9" i="11"/>
  <c r="AO17" i="17"/>
  <c r="AO16" i="17"/>
  <c r="AM15" i="11"/>
  <c r="S16" i="17"/>
  <c r="X10" i="21"/>
  <c r="L10" i="2"/>
  <c r="AZ15" i="11"/>
  <c r="AZ18" i="11" s="1"/>
  <c r="S17" i="17"/>
  <c r="S9" i="17"/>
  <c r="X13" i="20"/>
  <c r="AA9" i="16"/>
  <c r="AA17" i="16"/>
  <c r="AA10" i="16"/>
  <c r="X15" i="16"/>
  <c r="X18" i="16" s="1"/>
  <c r="X9" i="16"/>
  <c r="X19" i="16" s="1"/>
  <c r="S15" i="17"/>
  <c r="X16" i="20"/>
  <c r="V12" i="21"/>
  <c r="X17" i="20"/>
  <c r="X11" i="17"/>
  <c r="X15" i="17"/>
  <c r="X10" i="17"/>
  <c r="T15" i="11"/>
  <c r="S9" i="14"/>
  <c r="V9" i="14" s="1"/>
  <c r="R12" i="14"/>
  <c r="S17" i="14"/>
  <c r="V17" i="14" s="1"/>
  <c r="S11" i="14"/>
  <c r="V11" i="14" s="1"/>
  <c r="T11" i="11"/>
  <c r="R17" i="14"/>
  <c r="R18" i="14" s="1"/>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21" i="20" s="1"/>
  <c r="BW17" i="20"/>
  <c r="BV16" i="16"/>
  <c r="BW16" i="20"/>
  <c r="BV15" i="16"/>
  <c r="BW15" i="20"/>
  <c r="BU9" i="17"/>
  <c r="BU21" i="17" s="1"/>
  <c r="BV10" i="16"/>
  <c r="BU17" i="17"/>
  <c r="BU16" i="17"/>
  <c r="BV9" i="16"/>
  <c r="AZ16" i="11"/>
  <c r="T16" i="11"/>
  <c r="S15" i="16"/>
  <c r="S18" i="16" s="1"/>
  <c r="P15" i="17"/>
  <c r="BF12" i="11"/>
  <c r="BL15" i="11"/>
  <c r="Q15" i="11" s="1"/>
  <c r="BL10" i="11"/>
  <c r="BH10" i="16"/>
  <c r="Q15" i="17"/>
  <c r="BM17" i="11"/>
  <c r="P17" i="11" s="1"/>
  <c r="BF15" i="11"/>
  <c r="BM9" i="11"/>
  <c r="BH12" i="16"/>
  <c r="BK10" i="11"/>
  <c r="L15" i="2"/>
  <c r="L17" i="2"/>
  <c r="V10" i="16"/>
  <c r="V9" i="16"/>
  <c r="BM16" i="11"/>
  <c r="BF11" i="11"/>
  <c r="BL9" i="11"/>
  <c r="BG10" i="11"/>
  <c r="P17" i="17"/>
  <c r="BK12" i="11"/>
  <c r="BK9" i="11"/>
  <c r="BK15" i="11"/>
  <c r="BI10" i="11"/>
  <c r="V9" i="11"/>
  <c r="R10" i="21"/>
  <c r="BG9" i="11"/>
  <c r="BH17" i="11"/>
  <c r="T17" i="16"/>
  <c r="BU11" i="17"/>
  <c r="BU10" i="17"/>
  <c r="BW12" i="20"/>
  <c r="BW11" i="20"/>
  <c r="BW10" i="20"/>
  <c r="BU12" i="17"/>
  <c r="AZ12" i="11"/>
  <c r="Q17" i="17"/>
  <c r="Q18" i="17" s="1"/>
  <c r="Q19" i="17" s="1"/>
  <c r="BI9" i="11"/>
  <c r="BJ10" i="11"/>
  <c r="BH11" i="11"/>
  <c r="BH16" i="11"/>
  <c r="BJ16" i="11"/>
  <c r="L16" i="2"/>
  <c r="L9" i="2"/>
  <c r="T9" i="11"/>
  <c r="BH11" i="16"/>
  <c r="BH17" i="16"/>
  <c r="BL17" i="11"/>
  <c r="BF10" i="11"/>
  <c r="V11" i="11"/>
  <c r="Q10" i="21"/>
  <c r="BJ11" i="11"/>
  <c r="BI17" i="11"/>
  <c r="BL11" i="11"/>
  <c r="BM15" i="11"/>
  <c r="T15" i="16"/>
  <c r="BV17" i="16"/>
  <c r="BV12" i="16"/>
  <c r="BV11" i="16"/>
  <c r="U10" i="17"/>
  <c r="V12" i="16"/>
  <c r="BG12" i="11"/>
  <c r="BH10" i="11"/>
  <c r="AQ10" i="21"/>
  <c r="BK16" i="11"/>
  <c r="BG16" i="11"/>
  <c r="AQ12" i="21"/>
  <c r="BL16" i="11"/>
  <c r="U9" i="17"/>
  <c r="U19" i="17" s="1"/>
  <c r="T12" i="11"/>
  <c r="R11" i="14"/>
  <c r="S12" i="14"/>
  <c r="V12"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AS18" i="16"/>
  <c r="AZ13" i="16"/>
  <c r="AN19" i="16"/>
  <c r="AW19" i="11"/>
  <c r="Q16" i="11"/>
  <c r="AC16" i="11"/>
  <c r="K13" i="11"/>
  <c r="N18" i="11"/>
  <c r="P12"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K12" i="12"/>
  <c r="AJ18" i="11"/>
  <c r="D18" i="5"/>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U17" i="11"/>
  <c r="AX20" i="20"/>
  <c r="H20" i="17"/>
  <c r="O17" i="11"/>
  <c r="L20" i="20"/>
  <c r="O10" i="11"/>
  <c r="C18" i="6" l="1"/>
  <c r="P15" i="11"/>
  <c r="X13" i="16"/>
  <c r="BH18" i="11"/>
  <c r="T18" i="16"/>
  <c r="T19" i="16" s="1"/>
  <c r="BK18" i="11"/>
  <c r="Q9" i="11"/>
  <c r="P18" i="17"/>
  <c r="P19" i="17" s="1"/>
  <c r="BV13" i="16"/>
  <c r="BV18" i="16"/>
  <c r="P16" i="11"/>
  <c r="BH13" i="11"/>
  <c r="P9" i="11"/>
  <c r="R13" i="21"/>
  <c r="R19" i="21" s="1"/>
  <c r="AZ19" i="11"/>
  <c r="AZ13" i="11"/>
  <c r="BJ18"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<sst xmlns="http://schemas.openxmlformats.org/spreadsheetml/2006/main" count="2102" uniqueCount="916">
  <si>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</si>
  <si>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</si>
  <si>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</si>
  <si>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</si>
  <si>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</si>
  <si>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</si>
  <si>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</si>
  <si>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</si>
  <si>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</si>
  <si>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</si>
  <si>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</si>
  <si>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</si>
  <si>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</si>
  <si>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</si>
  <si>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</si>
  <si>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</si>
  <si>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</si>
  <si>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</si>
  <si>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</si>
  <si>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</si>
  <si>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</si>
  <si>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</si>
  <si>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</si>
  <si>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</si>
  <si>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</si>
  <si>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</si>
  <si>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</si>
  <si>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</si>
  <si>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</si>
  <si>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</si>
  <si>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</si>
  <si>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</si>
  <si>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</si>
  <si>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</si>
  <si>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</si>
  <si>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</si>
  <si>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</si>
  <si>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</si>
  <si>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</si>
  <si>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</si>
  <si>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</si>
  <si>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</si>
  <si>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</si>
  <si>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</si>
  <si>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</si>
  <si>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</si>
  <si>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</si>
  <si>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</si>
  <si>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</si>
  <si>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</si>
  <si>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</si>
  <si>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</si>
  <si>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</si>
  <si>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</si>
  <si>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</si>
  <si>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</si>
  <si>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</si>
  <si>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</si>
  <si>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</si>
  <si>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</si>
  <si>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</si>
  <si>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</si>
  <si>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</si>
  <si>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</si>
  <si>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</si>
  <si>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</si>
  <si>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</si>
  <si>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</si>
  <si>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</si>
  <si>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</si>
  <si>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</si>
  <si>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</si>
  <si>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</si>
  <si>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</si>
  <si>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</si>
  <si>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</si>
  <si>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</si>
  <si>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</si>
  <si>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</si>
  <si>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</si>
  <si>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</si>
  <si>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</si>
  <si>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</si>
  <si>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</si>
  <si>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</si>
  <si>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</si>
  <si>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</si>
  <si>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</si>
  <si>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</si>
  <si>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</si>
  <si>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</si>
  <si>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</si>
  <si>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</si>
  <si>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</si>
  <si>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</si>
  <si>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</si>
  <si>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</si>
  <si>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</si>
  <si>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</si>
  <si>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</si>
  <si>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</si>
  <si>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</si>
  <si>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</si>
  <si>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</si>
  <si>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</si>
  <si>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</si>
  <si>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</si>
  <si>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</si>
  <si>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</si>
  <si>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</si>
  <si>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</si>
  <si>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</si>
  <si>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</si>
  <si>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</si>
  <si>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</si>
  <si>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</si>
  <si>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</si>
  <si>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</si>
  <si>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</si>
  <si>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</si>
  <si>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</si>
  <si>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</si>
  <si>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</si>
  <si>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</si>
  <si>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</si>
  <si>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</si>
  <si>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</si>
  <si>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</si>
  <si>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</si>
  <si>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</si>
  <si>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</si>
  <si>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</si>
  <si>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</si>
  <si>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</si>
  <si>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</si>
  <si>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</si>
  <si>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</si>
  <si>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</si>
  <si>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</si>
  <si>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</si>
  <si>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</si>
  <si>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</si>
  <si>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</si>
  <si>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</si>
  <si>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</si>
  <si>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</si>
  <si>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</si>
  <si>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</si>
  <si>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</si>
  <si>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</si>
  <si>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</si>
  <si>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</si>
  <si>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</si>
  <si>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</si>
  <si>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</si>
  <si>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</si>
  <si>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</si>
  <si>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</si>
  <si>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</si>
  <si>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</si>
  <si>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</si>
  <si>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</si>
  <si>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</si>
  <si>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</si>
  <si>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</si>
  <si>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</si>
  <si>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</si>
  <si>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</si>
  <si>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</si>
  <si>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</si>
  <si>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</si>
  <si>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</si>
  <si>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</si>
  <si>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</si>
  <si>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</si>
  <si>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</si>
  <si>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</si>
  <si>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</si>
  <si>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</si>
  <si>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</si>
  <si>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</si>
  <si>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</si>
  <si>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</si>
  <si>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</si>
  <si>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</si>
  <si>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</si>
  <si>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</si>
  <si>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</si>
  <si>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</si>
  <si>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</si>
  <si>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</si>
  <si>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</si>
  <si>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</si>
  <si>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</si>
  <si>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</si>
  <si>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</si>
  <si>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</si>
  <si>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</si>
  <si>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</si>
  <si>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</si>
  <si>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</si>
  <si>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</si>
  <si>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</si>
  <si>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</si>
  <si>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</si>
  <si>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</si>
  <si>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</si>
  <si>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</si>
  <si>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</si>
  <si>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</si>
  <si>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</si>
  <si>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</si>
  <si>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</si>
  <si>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</si>
  <si>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</si>
  <si>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</si>
  <si>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</si>
  <si>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</si>
  <si>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</si>
  <si>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</si>
  <si>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</si>
  <si>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</si>
  <si>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</si>
  <si>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</si>
  <si>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</si>
  <si>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</si>
  <si>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</si>
  <si>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</si>
  <si>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</si>
  <si>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</si>
  <si>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</si>
  <si>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</si>
  <si>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</si>
  <si>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</si>
  <si>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</si>
  <si>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</si>
  <si>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</si>
  <si>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</si>
  <si>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</si>
  <si>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</si>
  <si>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</si>
  <si>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</si>
  <si>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</si>
  <si>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</si>
  <si>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</si>
  <si>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</si>
  <si>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</si>
  <si>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</si>
  <si>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</si>
  <si>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</si>
  <si>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</si>
  <si>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</si>
  <si>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</si>
  <si>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</si>
  <si>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</si>
  <si>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</si>
  <si>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</si>
  <si>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</si>
  <si>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</si>
  <si>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</si>
  <si>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</si>
  <si>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</si>
  <si>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</si>
  <si>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</si>
  <si>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</si>
  <si>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</si>
  <si>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</si>
  <si>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</si>
  <si>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</si>
  <si>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</si>
  <si>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</si>
  <si>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</si>
  <si>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</si>
  <si>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</si>
  <si>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</si>
  <si>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</si>
  <si>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</si>
  <si>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</si>
  <si>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</si>
  <si>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</si>
  <si>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</si>
  <si>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</si>
  <si>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</si>
  <si>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</si>
  <si>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</si>
  <si>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</si>
  <si>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</si>
  <si>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</si>
  <si>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</si>
  <si>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</si>
  <si>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</si>
  <si>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</si>
  <si>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</si>
  <si>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</si>
  <si>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</si>
  <si>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</si>
  <si>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</si>
  <si>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</si>
  <si>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</si>
  <si>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</si>
  <si>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</si>
  <si>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</si>
  <si>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</si>
  <si>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</si>
  <si>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</si>
  <si>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</si>
  <si>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</si>
  <si>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</si>
  <si>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</si>
  <si>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</si>
  <si>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</si>
  <si>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</si>
  <si>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</si>
  <si>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</si>
  <si>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</si>
  <si>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</si>
  <si>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</si>
  <si>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</si>
  <si>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</si>
  <si>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</si>
  <si>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</si>
  <si>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</si>
  <si>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</si>
  <si>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</si>
  <si>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</si>
  <si>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</si>
  <si>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</si>
  <si>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</si>
  <si>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</si>
  <si>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</si>
  <si>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</si>
  <si>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</si>
  <si>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</si>
  <si>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</si>
  <si>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</si>
  <si>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</si>
  <si>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</si>
  <si>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</si>
  <si>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</si>
  <si>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</si>
  <si>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</si>
  <si>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</si>
  <si>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</si>
  <si>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</si>
  <si>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</si>
  <si>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</si>
  <si>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</si>
  <si>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</si>
  <si>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</si>
  <si>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</si>
  <si>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</si>
  <si>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</si>
  <si>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</si>
  <si>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</si>
  <si>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</si>
  <si>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</si>
  <si>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</si>
  <si>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</si>
  <si>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</si>
  <si>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</si>
  <si>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</si>
  <si>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</si>
  <si>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</si>
  <si>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</si>
  <si>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</si>
  <si>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</si>
  <si>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</si>
  <si>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</si>
  <si>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</si>
  <si>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</si>
  <si>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</si>
  <si>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</si>
  <si>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</si>
  <si>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</si>
  <si>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</si>
  <si>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</si>
  <si>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</si>
  <si>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</si>
  <si>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</si>
  <si>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</si>
  <si>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</si>
  <si>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</si>
  <si>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</si>
  <si>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</si>
  <si>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</si>
  <si>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</si>
  <si>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</si>
  <si>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</si>
  <si>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</si>
  <si>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</si>
  <si>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</si>
  <si>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</si>
  <si>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</si>
  <si>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</si>
  <si>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</si>
  <si>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</si>
  <si>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</si>
  <si>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</si>
  <si>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</si>
  <si>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</si>
  <si>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</si>
  <si>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</si>
  <si>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</si>
  <si>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</si>
  <si>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</si>
  <si>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</si>
  <si>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</si>
  <si>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</si>
  <si>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</si>
  <si>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</si>
  <si>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</si>
  <si>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</si>
  <si>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</si>
  <si>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</si>
  <si>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</si>
  <si>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</si>
  <si>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</si>
  <si>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</si>
  <si>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</si>
  <si>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</si>
  <si>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</si>
  <si>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</si>
  <si>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</si>
  <si>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</si>
  <si>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</si>
  <si>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</si>
  <si>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</si>
  <si>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</si>
  <si>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</si>
  <si>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</si>
  <si>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</si>
  <si>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</si>
  <si>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</si>
  <si>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</si>
  <si>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</si>
  <si>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</si>
  <si>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</si>
  <si>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</si>
  <si>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</si>
  <si>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</si>
  <si>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</si>
  <si>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</si>
  <si>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</si>
  <si>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</si>
  <si>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</si>
  <si>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</si>
  <si>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</si>
  <si>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</si>
  <si>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</si>
  <si>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</si>
  <si>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</si>
  <si>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</si>
  <si>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</si>
  <si>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</si>
  <si>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</si>
  <si>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</si>
  <si>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</si>
  <si>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</si>
  <si>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</si>
  <si>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</si>
  <si>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</si>
  <si>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</si>
  <si>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</si>
  <si>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</si>
  <si>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</si>
  <si>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</si>
  <si>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</si>
  <si>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</si>
  <si>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</si>
  <si>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</si>
  <si>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</si>
  <si>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</si>
  <si>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</si>
  <si>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</si>
  <si>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</si>
  <si>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</si>
  <si>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</si>
  <si>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</si>
  <si>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</si>
  <si>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</si>
  <si>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</si>
  <si>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</si>
  <si>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</si>
  <si>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</si>
  <si>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</si>
  <si>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</si>
  <si>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</si>
  <si>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</si>
  <si>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</si>
  <si>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</si>
  <si>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</si>
  <si>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</si>
  <si>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</si>
  <si>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</si>
  <si>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</si>
  <si>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</si>
  <si>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</si>
  <si>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</si>
  <si>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</si>
  <si>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</si>
  <si>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</si>
  <si>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</si>
  <si>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</si>
  <si>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</si>
  <si>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</si>
  <si>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</si>
  <si>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</si>
  <si>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</si>
  <si>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</si>
  <si>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</si>
  <si>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</si>
  <si>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</si>
  <si>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</si>
  <si>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</si>
  <si>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</si>
  <si>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</si>
  <si>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</si>
  <si>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</si>
  <si>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</si>
  <si>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</si>
  <si>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</si>
  <si>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</si>
  <si>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</si>
  <si>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</si>
  <si>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</si>
  <si>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</si>
  <si>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</si>
  <si>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</si>
  <si>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</si>
  <si>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</si>
  <si>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</si>
  <si>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</si>
  <si>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</si>
  <si>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</si>
  <si>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</si>
  <si>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</si>
  <si>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</si>
  <si>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</si>
  <si>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</si>
  <si>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</si>
  <si>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</si>
  <si>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</si>
  <si>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</si>
  <si>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</si>
  <si>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</si>
  <si>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</si>
  <si>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</si>
  <si>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</si>
  <si>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</si>
  <si>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</si>
  <si>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</si>
  <si>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</si>
  <si>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</si>
  <si>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</si>
  <si>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</si>
  <si>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</si>
  <si>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</si>
  <si>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</si>
  <si>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</si>
  <si>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</si>
  <si>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</si>
  <si>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</si>
  <si>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</si>
  <si>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</si>
  <si>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</si>
  <si>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</si>
  <si>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</si>
  <si>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</si>
  <si>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</si>
  <si>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</si>
  <si>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</si>
  <si>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</si>
  <si>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</si>
  <si>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</si>
  <si>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</si>
  <si>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</si>
  <si>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</si>
  <si>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</si>
  <si>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</si>
  <si>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</si>
  <si>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</si>
  <si>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</si>
  <si>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</si>
  <si>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</si>
  <si>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</si>
  <si>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</si>
  <si>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</si>
  <si>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</si>
  <si>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</si>
  <si>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</si>
  <si>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</si>
  <si>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</si>
  <si>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</si>
  <si>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</si>
  <si>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</si>
  <si>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</si>
  <si>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</si>
  <si>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</si>
  <si>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</si>
  <si>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</si>
  <si>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</si>
  <si>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</si>
  <si>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</si>
  <si>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</si>
  <si>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</si>
  <si>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</si>
  <si>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</si>
  <si>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</si>
  <si>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</si>
  <si>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</si>
  <si>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</si>
  <si>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</si>
  <si>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</si>
  <si>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</si>
  <si>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</si>
  <si>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</si>
  <si>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</si>
  <si>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</si>
  <si>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</si>
  <si>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</si>
  <si>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</si>
  <si>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</si>
  <si>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</si>
  <si>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</si>
  <si>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</si>
  <si>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</si>
  <si>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</si>
  <si>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</si>
  <si>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</si>
  <si>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</si>
  <si>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</si>
  <si>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</si>
  <si>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</si>
  <si>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</si>
  <si>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</si>
  <si>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</si>
  <si>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</si>
  <si>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</si>
  <si>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</si>
  <si>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</si>
  <si>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</si>
  <si>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</si>
  <si>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</si>
  <si>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</si>
  <si>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</si>
  <si>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</si>
  <si>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</si>
  <si>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</si>
  <si>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</si>
  <si>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</si>
  <si>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</si>
  <si>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</si>
  <si>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</si>
  <si>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</si>
  <si>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</si>
  <si>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</si>
  <si>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</si>
  <si>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</si>
  <si>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</si>
  <si>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</si>
  <si>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</si>
  <si>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</si>
  <si>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</si>
  <si>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</si>
  <si>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</si>
  <si>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</si>
  <si>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</si>
  <si>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</si>
  <si>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</si>
  <si>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</si>
  <si>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</si>
  <si>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</si>
  <si>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</si>
  <si>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</si>
  <si>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</si>
  <si>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</si>
  <si>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</si>
  <si>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</si>
  <si>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</si>
  <si>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</si>
  <si>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</si>
  <si>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</si>
  <si>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</si>
  <si>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</si>
  <si>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</si>
  <si>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</si>
  <si>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</si>
  <si>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</si>
  <si>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</si>
  <si>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</si>
  <si>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</si>
  <si>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</si>
  <si>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</si>
  <si>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</si>
  <si>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</si>
  <si>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</si>
  <si>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</si>
  <si>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</si>
  <si>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</si>
  <si>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</si>
  <si>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</si>
  <si>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</si>
  <si>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</si>
  <si>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</si>
  <si>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</si>
  <si>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</si>
  <si>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</si>
  <si>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</si>
  <si>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</si>
  <si>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</si>
  <si>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</si>
  <si>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</si>
  <si>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</si>
  <si>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</si>
  <si>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</si>
  <si>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</si>
  <si>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</si>
  <si>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</si>
  <si>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</si>
  <si>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</si>
  <si>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</si>
  <si>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</si>
  <si>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</si>
  <si>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</si>
  <si>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</si>
  <si>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</si>
  <si>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</si>
  <si>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</si>
  <si>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</si>
  <si>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</si>
  <si>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</si>
  <si>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</si>
  <si>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</si>
  <si>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</si>
  <si>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</si>
  <si>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</si>
  <si>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</si>
  <si>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</si>
  <si>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</si>
  <si>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</si>
  <si>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</si>
  <si>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</si>
  <si>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</si>
  <si>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</si>
  <si>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</si>
  <si>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</si>
  <si>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</si>
  <si>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</si>
  <si>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</si>
  <si>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</si>
  <si>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</si>
  <si>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</si>
  <si>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</si>
  <si>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</si>
  <si>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</si>
  <si>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</si>
  <si>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</si>
  <si>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</si>
  <si>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</si>
  <si>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</si>
  <si>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</si>
  <si>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</si>
  <si>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</si>
  <si>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</si>
  <si>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</si>
  <si>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</si>
  <si>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</si>
  <si>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</si>
  <si>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</si>
  <si>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</si>
  <si>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</si>
  <si>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</si>
  <si>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</si>
  <si>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</si>
  <si>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</si>
  <si>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</si>
  <si>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</si>
  <si>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</si>
  <si>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</si>
  <si>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</si>
  <si>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</si>
  <si>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</si>
  <si>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</si>
  <si>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</si>
  <si>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</si>
  <si>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</si>
  <si>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</si>
  <si>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</si>
  <si>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</si>
  <si>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</si>
  <si>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</si>
  <si>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</si>
  <si>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</si>
  <si>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</si>
  <si>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</si>
  <si>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</si>
  <si>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</si>
  <si>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</si>
  <si>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</si>
  <si>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</si>
  <si>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</si>
  <si>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</si>
  <si>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</si>
  <si>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</si>
  <si>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</si>
  <si>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</si>
  <si>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</si>
  <si>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</si>
  <si>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</si>
  <si>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</si>
  <si>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</si>
  <si>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</si>
  <si>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</si>
  <si>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</si>
  <si>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</si>
  <si>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</si>
  <si>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</si>
  <si>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</si>
  <si>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</si>
  <si>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</si>
  <si>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</si>
  <si>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</si>
  <si>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</si>
  <si>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</si>
  <si>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</si>
  <si>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</si>
  <si>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</si>
  <si>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</si>
  <si>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</si>
  <si>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</si>
  <si>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</si>
  <si>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</si>
  <si>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</si>
  <si>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</si>
  <si>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</si>
  <si>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</si>
  <si>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</si>
  <si>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</si>
  <si>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</si>
  <si>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</si>
  <si>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</si>
  <si>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</si>
  <si>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</si>
  <si>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</si>
  <si>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</si>
  <si>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</si>
  <si>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</si>
  <si>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</si>
  <si>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</si>
  <si>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</si>
  <si>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</si>
  <si>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</si>
  <si>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</si>
  <si>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</si>
  <si>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</si>
  <si>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</si>
  <si>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</si>
  <si>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</si>
  <si>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</si>
  <si>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</si>
  <si>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</si>
  <si>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</si>
  <si>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</si>
  <si>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</si>
  <si>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</si>
  <si>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</si>
  <si>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</si>
  <si>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</si>
  <si>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</si>
  <si>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</si>
  <si>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</si>
  <si>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</si>
  <si>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</si>
  <si>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</si>
  <si>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</si>
  <si>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</si>
  <si>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</si>
  <si>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</si>
  <si>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</si>
  <si>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</si>
  <si>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</si>
  <si>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</si>
  <si>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</si>
  <si>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</si>
  <si>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</si>
  <si>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</si>
  <si>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</si>
  <si>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</si>
  <si>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</si>
  <si>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</si>
  <si>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</si>
  <si>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</si>
  <si>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</si>
  <si>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</si>
  <si>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</si>
  <si>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</si>
  <si>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</si>
  <si>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</si>
  <si>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</si>
  <si>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</si>
  <si>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</si>
  <si>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</si>
  <si>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</si>
  <si>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</si>
  <si>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</si>
  <si>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</si>
  <si>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</si>
  <si>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</si>
  <si>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</si>
  <si>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</si>
  <si>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</si>
  <si>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</si>
  <si>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ASTURIAS</t>
  </si>
  <si>
    <t>Provincias</t>
  </si>
  <si>
    <t>Resumenes por Partidos Judiciales</t>
  </si>
  <si>
    <t>MIERES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</si>
</sst>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h2bF8kuxDgwtNgEprg9xEfaetwgsxwLT8FS7aUIh74/To+wlh344OAkMPQwzkB1Fl7CTTmH2iP3H7/EKGVuA==" saltValue="4RjcT861g4tdWbkOUVWc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MIERES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4</v>
      </c>
      <c r="F10" s="404">
        <f>IF(ISNUMBER(E10/B10),E10/B10," - ")</f>
        <v>4</v>
      </c>
      <c r="G10" s="403">
        <f>IF(ISNUMBER(Datos!K10),Datos!K10," - ")</f>
        <v>3</v>
      </c>
      <c r="H10" s="404">
        <f>IF(ISNUMBER(G10/B10),G10/B10," - ")</f>
        <v>3</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986</v>
      </c>
      <c r="D12" s="404">
        <f>IF(ISNUMBER(C12/Datos!BH12),C12/Datos!BH12," - ")</f>
        <v>328.66666666666669</v>
      </c>
      <c r="E12" s="403">
        <f>IF(ISNUMBER(IF(J_V="SI",Datos!J12,Datos!J12+Datos!Z12)),IF(J_V="SI",Datos!J12,Datos!J12+Datos!Z12)," - ")</f>
        <v>1179</v>
      </c>
      <c r="F12" s="404">
        <f>IF(ISNUMBER(E12/B12),E12/B12," - ")</f>
        <v>393</v>
      </c>
      <c r="G12" s="403">
        <f>IF(ISNUMBER(IF(J_V="SI",Datos!K12,Datos!K12+Datos!AA12)),IF(J_V="SI",Datos!K12,Datos!K12+Datos!AA12)," - ")</f>
        <v>925</v>
      </c>
      <c r="H12" s="404">
        <f>IF(ISNUMBER(G12/B12),G12/B12," - ")</f>
        <v>308.33333333333331</v>
      </c>
      <c r="I12" s="403">
        <f>IF(ISNUMBER(IF(J_V="SI",Datos!L12,Datos!L12+Datos!AB12)),IF(J_V="SI",Datos!L12,Datos!L12+Datos!AB12)," - ")</f>
        <v>1240</v>
      </c>
      <c r="J12" s="404">
        <f>IF(ISNUMBER(I12/B12),I12/B12," - ")</f>
        <v>413.33333333333331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995</v>
      </c>
      <c r="D13" s="850" t="str">
        <f>IF(ISNUMBER(C13/Datos!BI13),C13/Datos!BI13," - ")</f>
        <v xml:space="preserve"> - </v>
      </c>
      <c r="E13" s="849">
        <f>SUBTOTAL(9,E8:E12)</f>
        <v>1183</v>
      </c>
      <c r="F13" s="850">
        <f>IF(ISNUMBER(E13/B13),E13/B13," - ")</f>
        <v>394.33333333333331</v>
      </c>
      <c r="G13" s="849">
        <f>SUBTOTAL(9,G8:G12)</f>
        <v>928</v>
      </c>
      <c r="H13" s="850">
        <f>IF(ISNUMBER(G13/B13),G13/B13," - ")</f>
        <v>309.33333333333331</v>
      </c>
      <c r="I13" s="849">
        <f>SUBTOTAL(9,I8:I12)</f>
        <v>1250</v>
      </c>
      <c r="J13" s="850">
        <f>IF(ISNUMBER(I13/B13),I13/B13," - ")</f>
        <v>416.66666666666669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826</v>
      </c>
      <c r="D16" s="404">
        <f>IF(ISNUMBER(C16/Datos!BH16),C16/Datos!BH16," - ")</f>
        <v>275.33333333333331</v>
      </c>
      <c r="E16" s="403">
        <f>IF(ISNUMBER(IF(D_I="SI",Datos!J16,Datos!J16+Datos!AD16)),IF(D_I="SI",Datos!J16,Datos!J16+Datos!AD16)," - ")</f>
        <v>489</v>
      </c>
      <c r="F16" s="404">
        <f>IF(ISNUMBER(E16/B16),E16/B16," - ")</f>
        <v>163</v>
      </c>
      <c r="G16" s="403">
        <f>IF(ISNUMBER(IF(D_I="SI",Datos!K16,Datos!K16+Datos!AE16)),IF(D_I="SI",Datos!K16,Datos!K16+Datos!AE16)," - ")</f>
        <v>531</v>
      </c>
      <c r="H16" s="404">
        <f>IF(ISNUMBER(G16/B16),G16/B16," - ")</f>
        <v>177</v>
      </c>
      <c r="I16" s="403">
        <f>IF(ISNUMBER(IF(D_I="SI",Datos!L16,Datos!L16+Datos!AF16)),IF(D_I="SI",Datos!L16,Datos!L16+Datos!AF16)," - ")</f>
        <v>784</v>
      </c>
      <c r="J16" s="404">
        <f>IF(ISNUMBER(I16/B16),I16/B16," - ")</f>
        <v>261.33333333333331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42</v>
      </c>
      <c r="D17" s="404">
        <f>IF(ISNUMBER(C17/Datos!BH17),C17/Datos!BH17," - ")</f>
        <v>42</v>
      </c>
      <c r="E17" s="403">
        <f>IF(ISNUMBER(IF(D_I="SI",Datos!J17,Datos!J17+Datos!AD17)),IF(D_I="SI",Datos!J17,Datos!J17+Datos!AD17)," - ")</f>
        <v>56</v>
      </c>
      <c r="F17" s="404">
        <f>IF(ISNUMBER(E17/B17),E17/B17," - ")</f>
        <v>56</v>
      </c>
      <c r="G17" s="403">
        <f>IF(ISNUMBER(IF(D_I="SI",Datos!K17,Datos!K17+Datos!AE17)),IF(D_I="SI",Datos!K17,Datos!K17+Datos!AE17)," - ")</f>
        <v>44</v>
      </c>
      <c r="H17" s="404">
        <f>IF(ISNUMBER(G17/B17),G17/B17," - ")</f>
        <v>44</v>
      </c>
      <c r="I17" s="403">
        <f>IF(ISNUMBER(IF(D_I="SI",Datos!L17,Datos!L17+Datos!AF17)),IF(D_I="SI",Datos!L17,Datos!L17+Datos!AF17)," - ")</f>
        <v>54</v>
      </c>
      <c r="J17" s="404">
        <f>IF(ISNUMBER(I17/B17),I17/B17," - ")</f>
        <v>54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868</v>
      </c>
      <c r="D18" s="850" t="str">
        <f>IF(ISNUMBER(C18/Datos!BI18),C18/Datos!BI18," - ")</f>
        <v xml:space="preserve"> - </v>
      </c>
      <c r="E18" s="849">
        <f>SUBTOTAL(9,E14:E17)</f>
        <v>545</v>
      </c>
      <c r="F18" s="850">
        <f>IF(ISNUMBER(E18/B18),E18/B18," - ")</f>
        <v>181.66666666666666</v>
      </c>
      <c r="G18" s="849">
        <f>SUBTOTAL(9,G14:G17)</f>
        <v>575</v>
      </c>
      <c r="H18" s="850">
        <f>IF(ISNUMBER(G18/B18),G18/B18," - ")</f>
        <v>191.66666666666666</v>
      </c>
      <c r="I18" s="849">
        <f>SUBTOTAL(9,I14:I17)</f>
        <v>838</v>
      </c>
      <c r="J18" s="850">
        <f>IF(ISNUMBER(I18/B18),I18/B18," - ")</f>
        <v>279.33333333333331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1863</v>
      </c>
      <c r="D19" s="795" t="str">
        <f>IF(ISNUMBER(C19/Datos!BI19),C19/Datos!BI19," - ")</f>
        <v xml:space="preserve"> - </v>
      </c>
      <c r="E19" s="794">
        <f>SUBTOTAL(9,E9:E18)</f>
        <v>1728</v>
      </c>
      <c r="F19" s="795">
        <f>IF(ISNUMBER(E19/B19),E19/B19," - ")</f>
        <v>576</v>
      </c>
      <c r="G19" s="794">
        <f>SUBTOTAL(9,G9:G18)</f>
        <v>1503</v>
      </c>
      <c r="H19" s="795">
        <f>IF(ISNUMBER(G19/B19),G19/B19," - ")</f>
        <v>501</v>
      </c>
      <c r="I19" s="794">
        <f>SUBTOTAL(9,I9:I18)</f>
        <v>2088</v>
      </c>
      <c r="J19" s="795">
        <f>IF(ISNUMBER(I19/B19),I19/B19," - ")</f>
        <v>696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DnGZMgj66KimBbm6dh42Q3dNC7LRMwCDhbiDcLTIt6lxjgMEkT5p8gzpteas1jWXAI92RpcnllKaKciIbCp9MA==" saltValue="xdgrg4qaLIzHCGNtPdzU2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MIERES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MU7jIYYeIgKM73ILoMtxgsb2yfGyoqzCOfKxT7hTKqtIBTktj/pb5fmh4SAhv0iIQHjw/McF02Cs4v6jz0fNkw==" saltValue="Qc9bpb48msycY5qyR8gJ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MIERES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271</v>
      </c>
      <c r="E12" s="404">
        <f t="shared" si="0"/>
        <v>90.333333333333329</v>
      </c>
      <c r="F12" s="403">
        <f>IF(ISNUMBER(Datos!N12),Datos!N12," - ")</f>
        <v>463</v>
      </c>
      <c r="G12" s="404">
        <f t="shared" si="1"/>
        <v>154.33333333333334</v>
      </c>
      <c r="H12" s="403">
        <f>IF(ISNUMBER(Datos!O12),Datos!O12," - ")</f>
        <v>329</v>
      </c>
      <c r="I12" s="404">
        <f t="shared" si="2"/>
        <v>109.66666666666667</v>
      </c>
      <c r="BZ12" s="1186">
        <f>Datos!EZ12</f>
        <v>0</v>
      </c>
    </row>
    <row r="13" spans="1:78" ht="14.25" thickTop="1" thickBot="1">
      <c r="A13" s="848" t="str">
        <f>Datos!A13</f>
        <v>TOTAL</v>
      </c>
      <c r="B13" s="849">
        <f>Datos!AP13</f>
        <v>3</v>
      </c>
      <c r="C13" s="851">
        <f>Datos!AR13</f>
        <v>3</v>
      </c>
      <c r="D13" s="849">
        <f>SUBTOTAL(9,D9:D12)</f>
        <v>273</v>
      </c>
      <c r="E13" s="850">
        <f t="shared" si="0"/>
        <v>91</v>
      </c>
      <c r="F13" s="849">
        <f>SUBTOTAL(9,F9:F12)</f>
        <v>463</v>
      </c>
      <c r="G13" s="850">
        <f t="shared" si="1"/>
        <v>154.33333333333334</v>
      </c>
      <c r="H13" s="849">
        <f>SUBTOTAL(9,H9:H12)</f>
        <v>329</v>
      </c>
      <c r="I13" s="850">
        <f>IF(ISNUMBER(H13/B13),H13/B13," - ")</f>
        <v>109.66666666666667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71</v>
      </c>
      <c r="E16" s="404">
        <f t="shared" si="3"/>
        <v>23.666666666666668</v>
      </c>
      <c r="F16" s="403">
        <f>IF(ISNUMBER(Datos!N16),Datos!N16," - ")</f>
        <v>313</v>
      </c>
      <c r="G16" s="404">
        <f t="shared" si="4"/>
        <v>104.33333333333333</v>
      </c>
      <c r="H16" s="403">
        <f>IF(ISNUMBER(Datos!O16),Datos!O16," - ")</f>
        <v>9</v>
      </c>
      <c r="I16" s="404">
        <f t="shared" si="5"/>
        <v>3</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76</v>
      </c>
      <c r="E18" s="850">
        <f t="shared" si="3"/>
        <v>25.333333333333332</v>
      </c>
      <c r="F18" s="849">
        <f>SUBTOTAL(9,F15:F17)</f>
        <v>336</v>
      </c>
      <c r="G18" s="850">
        <f t="shared" si="4"/>
        <v>112</v>
      </c>
      <c r="H18" s="849">
        <f>SUBTOTAL(9,H15:H17)</f>
        <v>9</v>
      </c>
      <c r="I18" s="850">
        <f>IF(ISNUMBER(H18/B18),H18/B18," - ")</f>
        <v>3</v>
      </c>
      <c r="BZ18" s="1186"/>
    </row>
    <row r="19" spans="1:78" ht="14.25" thickTop="1" thickBot="1">
      <c r="A19" s="793" t="str">
        <f>Datos!A19</f>
        <v>TOTAL JURISDICCIONES</v>
      </c>
      <c r="B19" s="794">
        <f>Datos!AP19</f>
        <v>3</v>
      </c>
      <c r="C19" s="794">
        <f>Datos!AR19</f>
        <v>3</v>
      </c>
      <c r="D19" s="794">
        <f>SUBTOTAL(9,D8:D18)</f>
        <v>349</v>
      </c>
      <c r="E19" s="795">
        <f>IF(ISNUMBER(D19/B19),D19/B19," - ")</f>
        <v>116.33333333333333</v>
      </c>
      <c r="F19" s="794">
        <f>SUBTOTAL(9,F8:F18)</f>
        <v>799</v>
      </c>
      <c r="G19" s="795">
        <f>IF(ISNUMBER(F19/B19),F19/B19," - ")</f>
        <v>266.33333333333331</v>
      </c>
      <c r="H19" s="794">
        <f>SUBTOTAL(9,H8:H18)</f>
        <v>338</v>
      </c>
      <c r="I19" s="795">
        <f>IF(ISNUMBER(H19/B19),H19/B19," - ")</f>
        <v>112.66666666666667</v>
      </c>
    </row>
    <row r="22" spans="1:78">
      <c r="A22" s="391" t="str">
        <f>Criterios!A4</f>
        <v>Fecha Informe: 03 jun. 2025</v>
      </c>
    </row>
    <row r="27" spans="1:78">
      <c r="A27" s="414"/>
    </row>
  </sheetData>
  <sheetProtection algorithmName="SHA-512" hashValue="4LrfwtpAWyfb2CgyijVBKcKgkTUHJC15LisP3kdFByhtRlkw/qH9DVw4l22bcAt/jL/Zs8yPRdjYQFtxQjFCUQ==" saltValue="VtSTM05WZCE+rn8HjQgc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MIERES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202</v>
      </c>
      <c r="C12" s="434">
        <f>IF(ISNUMBER(Datos!Q12),Datos!Q12," - ")</f>
        <v>146</v>
      </c>
      <c r="D12" s="408">
        <f>IF(ISNUMBER(Datos!R12),Datos!R12," - ")</f>
        <v>1996</v>
      </c>
    </row>
    <row r="13" spans="1:4" ht="14.25" thickTop="1" thickBot="1">
      <c r="A13" s="848" t="str">
        <f>Datos!A13</f>
        <v>TOTAL</v>
      </c>
      <c r="B13" s="849">
        <f>SUBTOTAL(9,B9:B12)</f>
        <v>202</v>
      </c>
      <c r="C13" s="853">
        <f>SUBTOTAL(9,C9:C12)</f>
        <v>146</v>
      </c>
      <c r="D13" s="851">
        <f>SUBTOTAL(9,D9:D12)</f>
        <v>1998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20</v>
      </c>
      <c r="D16" s="408">
        <f>IF(ISNUMBER(Datos!R16),Datos!R16," - ")</f>
        <v>191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20</v>
      </c>
      <c r="C18" s="853">
        <f>SUBTOTAL(9,C15:C17)</f>
        <v>20</v>
      </c>
      <c r="D18" s="851">
        <f>SUBTOTAL(9,D15:D17)</f>
        <v>191</v>
      </c>
    </row>
    <row r="19" spans="1:4" ht="16.5" customHeight="1" thickTop="1" thickBot="1">
      <c r="A19" s="793" t="str">
        <f>Datos!A19</f>
        <v>TOTAL JURISDICCIONES</v>
      </c>
      <c r="B19" s="798">
        <f>SUBTOTAL(9,B8:B18)</f>
        <v>222</v>
      </c>
      <c r="C19" s="799">
        <f>SUBTOTAL(9,C8:C18)</f>
        <v>166</v>
      </c>
      <c r="D19" s="800">
        <f>SUBTOTAL(9,D8:D18)</f>
        <v>2189</v>
      </c>
    </row>
    <row r="20" spans="1:4" ht="7.5" customHeight="1"/>
    <row r="21" spans="1:4" ht="6" customHeight="1"/>
    <row r="22" spans="1:4">
      <c r="A22" s="391" t="str">
        <f>Criterios!A4</f>
        <v>Fecha Informe: 03 jun. 2025</v>
      </c>
    </row>
    <row r="27" spans="1:4">
      <c r="A27" s="414"/>
    </row>
  </sheetData>
  <sheetProtection algorithmName="SHA-512" hashValue="xK+94euaQvvHtXwJpQlVdb14lLMISXKl7pGwgjrh87HgY9uoW7tngt8YJLUlnioL2fTcq9gfG4RaMaKtNNdY+Q==" saltValue="o97ayjf53rLF/rSVOyfj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MIERES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0.33333333333333331</v>
      </c>
      <c r="D10" s="456">
        <f>IF(ISNUMBER((Datos!K10-Datos!U10)/Datos!U10),(Datos!K10-Datos!U10)/Datos!U10," - ")</f>
        <v>-0.5</v>
      </c>
      <c r="E10" s="456">
        <f>IF(ISNUMBER((Datos!L10-Datos!V10)/Datos!V10),(Datos!L10-Datos!V10)/Datos!V10," - ")</f>
        <v>0.66666666666666663</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-0.625</v>
      </c>
      <c r="I10" s="456">
        <f>IF(ISNUMBER(((NºAsuntos!I10/NºAsuntos!G10)-Datos!BE10)/Datos!BE10),((NºAsuntos!I10/NºAsuntos!G10)-Datos!BE10)/Datos!BE10," - ")</f>
        <v>2.3333333333333335</v>
      </c>
      <c r="J10" s="461">
        <f>IF(ISNUMBER((('Resol  Asuntos'!D10/NºAsuntos!G10)-Datos!BF10)/Datos!BF10),(('Resol  Asuntos'!D10/NºAsuntos!G10)-Datos!BF10)/Datos!BF10," - ")</f>
        <v>0</v>
      </c>
      <c r="K10" s="462">
        <f>IF(ISNUMBER((((NºAsuntos!C10+NºAsuntos!E10)/NºAsuntos!G10)-Datos!BG10)/Datos!BG10),(((NºAsuntos!C10+NºAsuntos!E10)/NºAsuntos!G10)-Datos!BG10)/Datos!BG10," - ")</f>
        <v>1.1666666666666665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-0.16863406408094436</v>
      </c>
      <c r="C12" s="456">
        <f>IF(ISNUMBER(
   IF(J_V="SI",(Datos!J12-Datos!T12)/Datos!T12,(Datos!J12+Datos!Z12-(Datos!T12+Datos!AH12))/(Datos!T12+Datos!AH12))
     ),IF(J_V="SI",(Datos!J12-Datos!T12)/Datos!T12,(Datos!J12+Datos!Z12-(Datos!T12+Datos!AH12))/(Datos!T12+Datos!AH12))," - ")</f>
        <v>0.46641791044776121</v>
      </c>
      <c r="D12" s="456">
        <f>IF(ISNUMBER(
   IF(J_V="SI",(Datos!K12-Datos!U12)/Datos!U12,(Datos!K12+Datos!AA12-(Datos!U12+Datos!AI12))/(Datos!U12+Datos!AI12))
     ),IF(J_V="SI",(Datos!K12-Datos!U12)/Datos!U12,(Datos!K12+Datos!AA12-(Datos!U12+Datos!AI12))/(Datos!U12+Datos!AI12))," - ")</f>
        <v>9.0801886792452824E-2</v>
      </c>
      <c r="E12" s="456">
        <f>IF(ISNUMBER(
   IF(J_V="SI",(Datos!L12-Datos!V12)/Datos!V12,(Datos!L12+Datos!AB12-(Datos!V12+Datos!AJ12))/(Datos!V12+Datos!AJ12))
     ),IF(J_V="SI",(Datos!L12-Datos!V12)/Datos!V12,(Datos!L12+Datos!AB12-(Datos!V12+Datos!AJ12))/(Datos!V12+Datos!AJ12))," - ")</f>
        <v>8.5814360770577927E-2</v>
      </c>
      <c r="F12" s="456">
        <f>IF(ISNUMBER((Datos!M12-Datos!W12)/Datos!W12),(Datos!M12-Datos!W12)/Datos!W12," - ")</f>
        <v>0.24884792626728111</v>
      </c>
      <c r="G12" s="457">
        <f>IF(ISNUMBER((Datos!N12-Datos!X12)/Datos!X12),(Datos!N12-Datos!X12)/Datos!X12," - ")</f>
        <v>0.2446236559139785</v>
      </c>
      <c r="H12" s="455">
        <f>IF(ISNUMBER(((NºAsuntos!G12/NºAsuntos!E12)-Datos!BD12)/Datos!BD12),((NºAsuntos!G12/NºAsuntos!E12)-Datos!BD12)/Datos!BD12," - ")</f>
        <v>-0.25614527821786942</v>
      </c>
      <c r="I12" s="456">
        <f>IF(ISNUMBER(((NºAsuntos!I12/NºAsuntos!G12)-Datos!BE12)/Datos!BE12),((NºAsuntos!I12/NºAsuntos!G12)-Datos!BE12)/Datos!BE12," - ")</f>
        <v>-4.5723481800538264E-3</v>
      </c>
      <c r="J12" s="461">
        <f>IF(ISNUMBER((('Resol  Asuntos'!D12/NºAsuntos!G12)-Datos!BF12)/Datos!BF12),(('Resol  Asuntos'!D12/NºAsuntos!G12)-Datos!BF12)/Datos!BF12," - ")</f>
        <v>-0.33214763150247023</v>
      </c>
      <c r="K12" s="462">
        <f>IF(ISNUMBER((((NºAsuntos!C12+NºAsuntos!E12)/NºAsuntos!G12)-Datos!BG12)/Datos!BG12),(((NºAsuntos!C12+NºAsuntos!E12)/NºAsuntos!G12)-Datos!BG12)/Datos!BG12," - ")</f>
        <v>-2.6239304631264612E-3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-0.16736401673640167</v>
      </c>
      <c r="C13" s="855">
        <f>IF(ISNUMBER(
   IF(J_V="SI",(Datos!J13-Datos!T13)/Datos!T13,(Datos!J13+Datos!Z13-(Datos!T13+Datos!AH13))/(Datos!T13+Datos!AH13))
     ),IF(J_V="SI",(Datos!J13-Datos!T13)/Datos!T13,(Datos!J13+Datos!Z13-(Datos!T13+Datos!AH13))/(Datos!T13+Datos!AH13))," - ")</f>
        <v>0.46592317224287483</v>
      </c>
      <c r="D13" s="855">
        <f>IF(ISNUMBER(
   IF(J_V="SI",(Datos!K13-Datos!U13)/Datos!U13,(Datos!K13+Datos!AA13-(Datos!U13+Datos!AI13))/(Datos!U13+Datos!AI13))
     ),IF(J_V="SI",(Datos!K13-Datos!U13)/Datos!U13,(Datos!K13+Datos!AA13-(Datos!U13+Datos!AI13))/(Datos!U13+Datos!AI13))," - ")</f>
        <v>8.6651053864168617E-2</v>
      </c>
      <c r="E13" s="855">
        <f>IF(ISNUMBER(
   IF(J_V="SI",(Datos!L13-Datos!V13)/Datos!V13,(Datos!L13+Datos!AB13-(Datos!V13+Datos!AJ13))/(Datos!V13+Datos!AJ13))
     ),IF(J_V="SI",(Datos!L13-Datos!V13)/Datos!V13,(Datos!L13+Datos!AB13-(Datos!V13+Datos!AJ13))/(Datos!V13+Datos!AJ13))," - ")</f>
        <v>8.885017421602788E-2</v>
      </c>
      <c r="F13" s="856">
        <f>IF(ISNUMBER((Datos!M13-Datos!W13)/Datos!W13),(Datos!M13-Datos!W13)/Datos!W13," - ")</f>
        <v>0.23529411764705882</v>
      </c>
      <c r="G13" s="857">
        <f>IF(ISNUMBER((Datos!N13-Datos!X13)/Datos!X13),(Datos!N13-Datos!X13)/Datos!X13," - ")</f>
        <v>0.2446236559139785</v>
      </c>
      <c r="H13" s="857">
        <f>IF(ISNUMBER(((NºAsuntos!G13/NºAsuntos!E13)-Datos!BD13)/Datos!BD13),((NºAsuntos!G13/NºAsuntos!E13)-Datos!BD13)/Datos!BD13," - ")</f>
        <v>-0.25872578151446823</v>
      </c>
      <c r="I13" s="857">
        <f>IF(ISNUMBER(((NºAsuntos!I13/NºAsuntos!G13)-Datos!BE13)/Datos!BE13),((NºAsuntos!I13/NºAsuntos!G13)-Datos!BE13)/Datos!BE13," - ")</f>
        <v>2.0237594617326456E-3</v>
      </c>
      <c r="J13" s="857">
        <f>IF(ISNUMBER((('Resol  Asuntos'!D13/NºAsuntos!G13)-Datos!BF13)/Datos!BF13),(('Resol  Asuntos'!D13/NºAsuntos!G13)-Datos!BF13)/Datos!BF13," - ")</f>
        <v>-0.33183350146735141</v>
      </c>
      <c r="K13" s="857">
        <f>IF(ISNUMBER((((NºAsuntos!C13+NºAsuntos!E13)/NºAsuntos!G13)-Datos!BG13)/Datos!BG13),(((NºAsuntos!C13+NºAsuntos!E13)/NºAsuntos!G13)-Datos!BG13)/Datos!BG13," - ")</f>
        <v>1.160477453580768E-3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0.12687585266030013</v>
      </c>
      <c r="C16" s="456">
        <f>IF(ISNUMBER(
   IF(D_I="SI",(Datos!J16-Datos!T16)/Datos!T16,(Datos!J16+Datos!AD16-(Datos!T16+Datos!AL16))/(Datos!T16+Datos!AL16))
     ),IF(D_I="SI",(Datos!J16-Datos!T16)/Datos!T16,(Datos!J16+Datos!AD16-(Datos!T16+Datos!AL16))/(Datos!T16+Datos!AL16))," - ")</f>
        <v>-6.0975609756097563E-3</v>
      </c>
      <c r="D16" s="456">
        <f>IF(ISNUMBER(
   IF(D_I="SI",(Datos!K16-Datos!U16)/Datos!U16,(Datos!K16+Datos!AE16-(Datos!U16+Datos!AM16))/(Datos!U16+Datos!AM16))
     ),IF(D_I="SI",(Datos!K16-Datos!U16)/Datos!U16,(Datos!K16+Datos!AE16-(Datos!U16+Datos!AM16))/(Datos!U16+Datos!AM16))," - ")</f>
        <v>0.10855949895615867</v>
      </c>
      <c r="E16" s="456">
        <f>IF(ISNUMBER(
   IF(D_I="SI",(Datos!L16-Datos!V16)/Datos!V16,(Datos!L16+Datos!AF16-(Datos!V16+Datos!AN16))/(Datos!V16+Datos!AN16))
     ),IF(D_I="SI",(Datos!L16-Datos!V16)/Datos!V16,(Datos!L16+Datos!AF16-(Datos!V16+Datos!AN16))/(Datos!V16+Datos!AN16))," - ")</f>
        <v>4.6728971962616821E-2</v>
      </c>
      <c r="F16" s="456">
        <f>IF(ISNUMBER((Datos!M16-Datos!W16)/Datos!W16),(Datos!M16-Datos!W16)/Datos!W16," - ")</f>
        <v>-0.1125</v>
      </c>
      <c r="G16" s="457">
        <f>IF(ISNUMBER((Datos!N16-Datos!X16)/Datos!X16),(Datos!N16-Datos!X16)/Datos!X16," - ")</f>
        <v>-2.7950310559006212E-2</v>
      </c>
      <c r="H16" s="455">
        <f>IF(ISNUMBER(((NºAsuntos!G16/NºAsuntos!E16)-Datos!BD16)/Datos!BD16),((NºAsuntos!G16/NºAsuntos!E16)-Datos!BD16)/Datos!BD16," - ")</f>
        <v>0.11536047747736199</v>
      </c>
      <c r="I16" s="456">
        <f>IF(ISNUMBER(((NºAsuntos!I16/NºAsuntos!G16)-Datos!BE16)/Datos!BE16),((NºAsuntos!I16/NºAsuntos!G16)-Datos!BE16)/Datos!BE16," - ")</f>
        <v>-5.5775560131650644E-2</v>
      </c>
      <c r="J16" s="461">
        <f>IF(ISNUMBER((('Resol  Asuntos'!D16/NºAsuntos!G16)-Datos!BF16)/Datos!BF16),(('Resol  Asuntos'!D16/NºAsuntos!G16)-Datos!BF16)/Datos!BF16," - ")</f>
        <v>-0.19941148775894532</v>
      </c>
      <c r="K16" s="462">
        <f>IF(ISNUMBER((((NºAsuntos!C16+NºAsuntos!E16)/NºAsuntos!G16)-Datos!BG16)/Datos!BG16),(((NºAsuntos!C16+NºAsuntos!E16)/NºAsuntos!G16)-Datos!BG16)/Datos!BG16," - ")</f>
        <v>-3.1653791460086907E-2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0.3125</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4.7619047619047616E-2</v>
      </c>
      <c r="E17" s="456">
        <f>IF(ISNUMBER(
   IF(D_I="SI",(Datos!L17-Datos!V17)/Datos!V17,(Datos!L17+Datos!AF17-(Datos!V17+Datos!AN17))/(Datos!V17+Datos!AN17))
     ),IF(D_I="SI",(Datos!L17-Datos!V17)/Datos!V17,(Datos!L17+Datos!AF17-(Datos!V17+Datos!AN17))/(Datos!V17+Datos!AN17))," - ")</f>
        <v>0.6875</v>
      </c>
      <c r="F17" s="456">
        <f>IF(ISNUMBER((Datos!M17-Datos!W17)/Datos!W17),(Datos!M17-Datos!W17)/Datos!W17," - ")</f>
        <v>-0.58333333333333337</v>
      </c>
      <c r="G17" s="457">
        <f>IF(ISNUMBER((Datos!N17-Datos!X17)/Datos!X17),(Datos!N17-Datos!X17)/Datos!X17," - ")</f>
        <v>0.53333333333333333</v>
      </c>
      <c r="H17" s="455">
        <f>IF(ISNUMBER(((NºAsuntos!G17/NºAsuntos!E17)-Datos!BD17)/Datos!BD17),((NºAsuntos!G17/NºAsuntos!E17)-Datos!BD17)/Datos!BD17," - ")</f>
        <v>-0.2142857142857143</v>
      </c>
      <c r="I17" s="456">
        <f>IF(ISNUMBER(((NºAsuntos!I17/NºAsuntos!G17)-Datos!BE17)/Datos!BE17),((NºAsuntos!I17/NºAsuntos!G17)-Datos!BE17)/Datos!BE17," - ")</f>
        <v>0.6107954545454547</v>
      </c>
      <c r="J17" s="461">
        <f>IF(ISNUMBER((('Resol  Asuntos'!D17/NºAsuntos!G17)-Datos!BF17)/Datos!BF17),(('Resol  Asuntos'!D17/NºAsuntos!G17)-Datos!BF17)/Datos!BF17," - ")</f>
        <v>-0.60227272727272718</v>
      </c>
      <c r="K17" s="462">
        <f>IF(ISNUMBER((((NºAsuntos!C17+NºAsuntos!E17)/NºAsuntos!G17)-Datos!BG17)/Datos!BG17),(((NºAsuntos!C17+NºAsuntos!E17)/NºAsuntos!G17)-Datos!BG17)/Datos!BG17," - ")</f>
        <v>0.26412776412776406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0.13464052287581699</v>
      </c>
      <c r="C18" s="855">
        <f>IF(ISNUMBER(
   IF(Criterios!B14="SI",(Datos!J18-Datos!T18)/Datos!T18,(Datos!J18+Datos!AD18-(Datos!T18+Datos!AL18))/(Datos!T18+Datos!AL18))
     ),IF(Criterios!B14="SI",(Datos!J18-Datos!T18)/Datos!T18,(Datos!J18+Datos!AD18-(Datos!T18+Datos!AL18))/(Datos!T18+Datos!AL18))," - ")</f>
        <v>2.0599250936329586E-2</v>
      </c>
      <c r="D18" s="855">
        <f>IF(ISNUMBER(
   IF(Criterios!B14="SI",(Datos!K18-Datos!U18)/Datos!U18,(Datos!K18+Datos!AE18-(Datos!U18+Datos!AM18))/(Datos!U18+Datos!AM18))
     ),IF(Criterios!B14="SI",(Datos!K18-Datos!U18)/Datos!U18,(Datos!K18+Datos!AE18-(Datos!U18+Datos!AM18))/(Datos!U18+Datos!AM18))," - ")</f>
        <v>0.1036468330134357</v>
      </c>
      <c r="E18" s="855">
        <f>IF(ISNUMBER(
   IF(Criterios!B14="SI",(Datos!L18-Datos!V18)/Datos!V18,(Datos!L18+Datos!AF18-(Datos!V18+Datos!AN18))/(Datos!V18+Datos!AN18))
     ),IF(Criterios!B14="SI",(Datos!L18-Datos!V18)/Datos!V18,(Datos!L18+Datos!AF18-(Datos!V18+Datos!AN18))/(Datos!V18+Datos!AN18))," - ")</f>
        <v>7.2983354673495524E-2</v>
      </c>
      <c r="F18" s="856">
        <f>IF(ISNUMBER((Datos!M18-Datos!W18)/Datos!W18),(Datos!M18-Datos!W18)/Datos!W18," - ")</f>
        <v>-0.17391304347826086</v>
      </c>
      <c r="G18" s="857">
        <f>IF(ISNUMBER((Datos!N18-Datos!X18)/Datos!X18),(Datos!N18-Datos!X18)/Datos!X18," - ")</f>
        <v>-2.967359050445104E-3</v>
      </c>
      <c r="H18" s="857">
        <f>IF(ISNUMBER(((NºAsuntos!G18/NºAsuntos!E18)-Datos!BD18)/Datos!BD18),((NºAsuntos!G18/NºAsuntos!E18)-Datos!BD18)/Datos!BD18," - ")</f>
        <v>8.1371392347109314E-2</v>
      </c>
      <c r="I18" s="857">
        <f>IF(ISNUMBER(((NºAsuntos!I18/NºAsuntos!G18)-Datos!BE18)/Datos!BE18),((NºAsuntos!I18/NºAsuntos!G18)-Datos!BE18)/Datos!BE18," - ")</f>
        <v>-2.7783777765406678E-2</v>
      </c>
      <c r="J18" s="857">
        <f>IF(ISNUMBER((('Resol  Asuntos'!D18/NºAsuntos!G18)-Datos!BF18)/Datos!BF18),(('Resol  Asuntos'!D18/NºAsuntos!G18)-Datos!BF18)/Datos!BF18," - ")</f>
        <v>-0.25149338374291114</v>
      </c>
      <c r="K18" s="857">
        <f>IF(ISNUMBER((((NºAsuntos!C18+NºAsuntos!E18)/NºAsuntos!G18)-Datos!BG18)/Datos!BG18),(((NºAsuntos!C18+NºAsuntos!E18)/NºAsuntos!G18)-Datos!BG18)/Datos!BG18," - ")</f>
        <v>-1.4395019580279264E-2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-4.9489795918367344E-2</v>
      </c>
      <c r="C19" s="802">
        <f>IF(ISNUMBER(
   IF(J_V="SI",(Datos!J19-Datos!T19)/Datos!T19,(Datos!J19+Datos!Z19-(Datos!T19+Datos!AH19))/(Datos!T19+Datos!AH19))
     ),IF(J_V="SI",(Datos!J19-Datos!T19)/Datos!T19,(Datos!J19+Datos!Z19-(Datos!T19+Datos!AH19))/(Datos!T19+Datos!AH19))," - ")</f>
        <v>0.28859060402684567</v>
      </c>
      <c r="D19" s="802">
        <f>IF(ISNUMBER(
   IF(J_V="SI",(Datos!K19-Datos!U19)/Datos!U19,(Datos!K19+Datos!AA19-(Datos!U19+Datos!AI19))/(Datos!U19+Datos!AI19))
     ),IF(J_V="SI",(Datos!K19-Datos!U19)/Datos!U19,(Datos!K19+Datos!AA19-(Datos!U19+Datos!AI19))/(Datos!U19+Datos!AI19))," - ")</f>
        <v>9.3090909090909085E-2</v>
      </c>
      <c r="E19" s="802">
        <f>IF(ISNUMBER(
   IF(J_V="SI",(Datos!L19-Datos!V19)/Datos!V19,(Datos!L19+Datos!AB19-(Datos!V19+Datos!AJ19))/(Datos!V19+Datos!AJ19))
     ),IF(J_V="SI",(Datos!L19-Datos!V19)/Datos!V19,(Datos!L19+Datos!AB19-(Datos!V19+Datos!AJ19))/(Datos!V19+Datos!AJ19))," - ")</f>
        <v>8.2426127527216175E-2</v>
      </c>
      <c r="F19" s="803">
        <f>IF(ISNUMBER((Datos!M19-Datos!W19)/Datos!W19),(Datos!M19-Datos!W19)/Datos!W19," - ")</f>
        <v>0.11501597444089456</v>
      </c>
      <c r="G19" s="804">
        <f>IF(ISNUMBER((Datos!N19-Datos!X19)/Datos!X19),(Datos!N19-Datos!X19)/Datos!X19," - ")</f>
        <v>0.12693935119887165</v>
      </c>
      <c r="H19" s="805">
        <f>IF(ISNUMBER((Tasas!B19-Datos!BD19)/Datos!BD19),(Tasas!B19-Datos!BD19)/Datos!BD19," - ")</f>
        <v>-0.15171590909090915</v>
      </c>
      <c r="I19" s="806">
        <f>IF(ISNUMBER((Tasas!C19-Datos!BE19)/Datos!BE19),(Tasas!C19-Datos!BE19)/Datos!BE19," - ")</f>
        <v>-9.7565366933317754E-3</v>
      </c>
      <c r="J19" s="807">
        <f>IF(ISNUMBER((Tasas!D19-Datos!BF19)/Datos!BF19),(Tasas!D19-Datos!BF19)/Datos!BF19," - ")</f>
        <v>-0.31778181528680532</v>
      </c>
      <c r="K19" s="807">
        <f>IF(ISNUMBER((Tasas!E19-Datos!BG19)/Datos!BG19),(Tasas!E19-Datos!BG19)/Datos!BG19," - ")</f>
        <v>-4.7925959652945042E-3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6o0IY7CboLL8GNRigril9h0Ho5SY2j+hkvxxPI+qdBs9VTt7OMyRV72hxL6kkf7HP1WJ1m31bR0TCylZaU3JA==" saltValue="reATKcIIXrgzdDptyhVS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MIERES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3.3333333333333335</v>
      </c>
      <c r="D10" s="444">
        <f>IF(ISNUMBER('Resol  Asuntos'!D10/NºAsuntos!G10),'Resol  Asuntos'!D10/NºAsuntos!G10," - ")</f>
        <v>0.66666666666666663</v>
      </c>
      <c r="E10" s="445">
        <f>IF(ISNUMBER((NºAsuntos!C10+NºAsuntos!E10)/NºAsuntos!G10),(NºAsuntos!C10+NºAsuntos!E10)/NºAsuntos!G10," - ")</f>
        <v>4.333333333333333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0.78456318914334178</v>
      </c>
      <c r="C12" s="443">
        <f>IF(ISNUMBER(NºAsuntos!I12/NºAsuntos!G12),NºAsuntos!I12/NºAsuntos!G12," - ")</f>
        <v>1.3405405405405406</v>
      </c>
      <c r="D12" s="444">
        <f>IF(ISNUMBER('Resol  Asuntos'!D12/NºAsuntos!G12),'Resol  Asuntos'!D12/NºAsuntos!G12," - ")</f>
        <v>0.29297297297297298</v>
      </c>
      <c r="E12" s="445">
        <f>IF(ISNUMBER((NºAsuntos!C12+NºAsuntos!E12)/NºAsuntos!G12),(NºAsuntos!C12+NºAsuntos!E12)/NºAsuntos!G12," - ")</f>
        <v>2.3405405405405406</v>
      </c>
      <c r="G12" s="463"/>
    </row>
    <row r="13" spans="1:7" ht="14.25" thickTop="1" thickBot="1">
      <c r="A13" s="848" t="str">
        <f>Datos!A13</f>
        <v>TOTAL</v>
      </c>
      <c r="B13" s="858">
        <f>IF(ISNUMBER(NºAsuntos!G13/NºAsuntos!E13),NºAsuntos!G13/NºAsuntos!E13," - ")</f>
        <v>0.78444632290786132</v>
      </c>
      <c r="C13" s="859">
        <f>IF(ISNUMBER(NºAsuntos!I13/NºAsuntos!G13),NºAsuntos!I13/NºAsuntos!G13," - ")</f>
        <v>1.3469827586206897</v>
      </c>
      <c r="D13" s="860">
        <f>IF(ISNUMBER('Resol  Asuntos'!D13/NºAsuntos!G13),'Resol  Asuntos'!D13/NºAsuntos!G13," - ")</f>
        <v>0.29418103448275862</v>
      </c>
      <c r="E13" s="861">
        <f>IF(ISNUMBER((NºAsuntos!C13+NºAsuntos!E13)/NºAsuntos!G13),(NºAsuntos!C13+NºAsuntos!E13)/NºAsuntos!G13," - ")</f>
        <v>2.3469827586206895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1.0858895705521472</v>
      </c>
      <c r="C16" s="443">
        <f>IF(ISNUMBER(NºAsuntos!I16/NºAsuntos!G16),NºAsuntos!I16/NºAsuntos!G16," - ")</f>
        <v>1.4764595103578155</v>
      </c>
      <c r="D16" s="444">
        <f>IF(ISNUMBER('Resol  Asuntos'!D16/NºAsuntos!G16),'Resol  Asuntos'!D16/NºAsuntos!G16," - ")</f>
        <v>0.13370998116760829</v>
      </c>
      <c r="E16" s="445">
        <f>IF(ISNUMBER((NºAsuntos!C16+NºAsuntos!E16)/NºAsuntos!G16),(NºAsuntos!C16+NºAsuntos!E16)/NºAsuntos!G16," - ")</f>
        <v>2.4764595103578153</v>
      </c>
      <c r="G16" s="463"/>
    </row>
    <row r="17" spans="1:7" ht="13.5" thickBot="1">
      <c r="A17" s="402" t="str">
        <f>Datos!A17</f>
        <v>Jdos. Violencia contra la mujer</v>
      </c>
      <c r="B17" s="442">
        <f>IF(ISNUMBER(NºAsuntos!G17/NºAsuntos!E17),NºAsuntos!G17/NºAsuntos!E17," - ")</f>
        <v>0.7857142857142857</v>
      </c>
      <c r="C17" s="443">
        <f>IF(ISNUMBER(NºAsuntos!I17/NºAsuntos!G17),NºAsuntos!I17/NºAsuntos!G17," - ")</f>
        <v>1.2272727272727273</v>
      </c>
      <c r="D17" s="444">
        <f>IF(ISNUMBER('Resol  Asuntos'!D17/NºAsuntos!G17),'Resol  Asuntos'!D17/NºAsuntos!G17," - ")</f>
        <v>0.11363636363636363</v>
      </c>
      <c r="E17" s="445">
        <f>IF(ISNUMBER((NºAsuntos!C17+NºAsuntos!E17)/NºAsuntos!G17),(NºAsuntos!C17+NºAsuntos!E17)/NºAsuntos!G17," - ")</f>
        <v>2.2272727272727271</v>
      </c>
      <c r="G17" s="463"/>
    </row>
    <row r="18" spans="1:7" ht="14.25" thickTop="1" thickBot="1">
      <c r="A18" s="848" t="str">
        <f>Datos!A18</f>
        <v>TOTAL</v>
      </c>
      <c r="B18" s="858">
        <f>IF(ISNUMBER(NºAsuntos!G18/NºAsuntos!E18),NºAsuntos!G18/NºAsuntos!E18," - ")</f>
        <v>1.0550458715596329</v>
      </c>
      <c r="C18" s="859">
        <f>IF(ISNUMBER(NºAsuntos!I18/NºAsuntos!G18),NºAsuntos!I18/NºAsuntos!G18," - ")</f>
        <v>1.4573913043478262</v>
      </c>
      <c r="D18" s="862">
        <f>IF(ISNUMBER('Resol  Asuntos'!D18/NºAsuntos!G18),'Resol  Asuntos'!D18/NºAsuntos!G18," - ")</f>
        <v>0.13217391304347825</v>
      </c>
      <c r="E18" s="861">
        <f>IF(ISNUMBER((NºAsuntos!C18+NºAsuntos!E18)/NºAsuntos!G18),(NºAsuntos!C18+NºAsuntos!E18)/NºAsuntos!G18," - ")</f>
        <v>2.4573913043478259</v>
      </c>
      <c r="G18" s="463"/>
    </row>
    <row r="19" spans="1:7" ht="15.75" customHeight="1" thickTop="1" thickBot="1">
      <c r="A19" s="793" t="str">
        <f>Datos!A19</f>
        <v>TOTAL JURISDICCIONES</v>
      </c>
      <c r="B19" s="808">
        <f>IF(ISNUMBER(NºAsuntos!G19/NºAsuntos!E19),NºAsuntos!G19/NºAsuntos!E19," - ")</f>
        <v>0.86979166666666663</v>
      </c>
      <c r="C19" s="809">
        <f>IF(ISNUMBER(NºAsuntos!I19/NºAsuntos!G19),NºAsuntos!I19/NºAsuntos!G19," - ")</f>
        <v>1.3892215568862276</v>
      </c>
      <c r="D19" s="810">
        <f>IF(ISNUMBER('Resol  Asuntos'!D19/NºAsuntos!G19),'Resol  Asuntos'!D19/NºAsuntos!G19," - ")</f>
        <v>0.2322022621423819</v>
      </c>
      <c r="E19" s="811">
        <f>IF(ISNUMBER((NºAsuntos!C19+NºAsuntos!E19)/NºAsuntos!G19),(NºAsuntos!C19+NºAsuntos!E19)/NºAsuntos!G19," - ")</f>
        <v>2.3892215568862274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q9cobjbWN0eMCbOBELnQYTZTveS4NMCnunm1HeWoan9vUoZYltQ/2IPYb0XO5yf5NmEu0ivm4CKnFcas+oazQ==" saltValue="b1Z1hkyODUAeDYzWtKET4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MIERES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10</v>
      </c>
      <c r="AB10" s="334">
        <f>IF(ISNUMBER(Datos!R10),Datos!R10," - ")</f>
        <v>2</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10.000000000000002</v>
      </c>
      <c r="AN10" s="244">
        <f>IF(ISNUMBER('Resol  Asuntos'!D10/NºAsuntos!G10),'Resol  Asuntos'!D10/NºAsuntos!G10," - ")</f>
        <v>0.66666666666666663</v>
      </c>
      <c r="AO10" s="245">
        <f>IF(ISNUMBER((NºAsuntos!C10+NºAsuntos!E10)/NºAsuntos!G10),(NºAsuntos!C10+NºAsuntos!E10)/NºAsuntos!G10," - ")</f>
        <v>4.333333333333333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146</v>
      </c>
      <c r="Y12" s="334">
        <f t="shared" si="0"/>
        <v>146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271</v>
      </c>
      <c r="AJ12" s="229" t="str">
        <f>IF(ISNUMBER(Datos!BW12),Datos!BW12," - ")</f>
        <v xml:space="preserve"> - </v>
      </c>
      <c r="AK12" s="228" t="str">
        <f>IF(ISNUMBER(Datos!BX12),Datos!BX12," - ")</f>
        <v xml:space="preserve"> - </v>
      </c>
      <c r="AL12" s="243">
        <f>IF(ISNUMBER(NºAsuntos!G12/NºAsuntos!E12),NºAsuntos!G12/NºAsuntos!E12," - ")</f>
        <v>0.78456318914334178</v>
      </c>
      <c r="AM12" s="260">
        <f>IF(ISNUMBER(((NºAsuntos!I12/NºAsuntos!G12)*11)/factor_trimestre),((NºAsuntos!I12/NºAsuntos!G12)*11)/factor_trimestre," - ")</f>
        <v>4.0216216216216223</v>
      </c>
      <c r="AN12" s="244">
        <f>IF(ISNUMBER('Resol  Asuntos'!D12/NºAsuntos!G12),'Resol  Asuntos'!D12/NºAsuntos!G12," - ")</f>
        <v>0.29297297297297298</v>
      </c>
      <c r="AO12" s="245">
        <f>IF(ISNUMBER((NºAsuntos!C12+NºAsuntos!E12)/NºAsuntos!G12),(NºAsuntos!C12+NºAsuntos!E12)/NºAsuntos!G12," - ")</f>
        <v>2.3405405405405406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9</v>
      </c>
      <c r="G13" s="866">
        <f t="shared" si="3"/>
        <v>9</v>
      </c>
      <c r="H13" s="865">
        <f t="shared" si="3"/>
        <v>0</v>
      </c>
      <c r="I13" s="867">
        <f t="shared" si="3"/>
        <v>0</v>
      </c>
      <c r="J13" s="867">
        <f t="shared" si="3"/>
        <v>0</v>
      </c>
      <c r="K13" s="867">
        <f t="shared" si="3"/>
        <v>0</v>
      </c>
      <c r="L13" s="867">
        <f t="shared" si="3"/>
        <v>202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146</v>
      </c>
      <c r="Y13" s="868">
        <f t="shared" si="4"/>
        <v>149</v>
      </c>
      <c r="Z13" s="868">
        <f t="shared" si="4"/>
        <v>0</v>
      </c>
      <c r="AA13" s="868">
        <f t="shared" si="4"/>
        <v>10</v>
      </c>
      <c r="AB13" s="868">
        <f t="shared" si="4"/>
        <v>1998</v>
      </c>
      <c r="AC13" s="868">
        <f t="shared" si="4"/>
        <v>12</v>
      </c>
      <c r="AD13" s="868">
        <f t="shared" si="4"/>
        <v>0</v>
      </c>
      <c r="AE13" s="872">
        <f t="shared" si="4"/>
        <v>0</v>
      </c>
      <c r="AF13" s="865">
        <f t="shared" si="4"/>
        <v>0</v>
      </c>
      <c r="AG13" s="873">
        <f t="shared" si="4"/>
        <v>0</v>
      </c>
      <c r="AH13" s="870">
        <f t="shared" si="4"/>
        <v>0</v>
      </c>
      <c r="AI13" s="865">
        <f t="shared" si="4"/>
        <v>273</v>
      </c>
      <c r="AJ13" s="867">
        <f t="shared" si="4"/>
        <v>0</v>
      </c>
      <c r="AK13" s="870">
        <f>SUBTOTAL(9,AK9:AK12)</f>
        <v>0</v>
      </c>
      <c r="AL13" s="874">
        <f>IF(ISNUMBER(NºAsuntos!G13/NºAsuntos!E13),NºAsuntos!G13/NºAsuntos!E13," - ")</f>
        <v>0.78444632290786132</v>
      </c>
      <c r="AM13" s="874">
        <f>IF(ISNUMBER(((NºAsuntos!I13/NºAsuntos!G13)*11)/factor_trimestre),((NºAsuntos!I13/NºAsuntos!G13)*11)/factor_trimestre," - ")</f>
        <v>4.0409482758620694</v>
      </c>
      <c r="AN13" s="875">
        <f>IF(ISNUMBER('Resol  Asuntos'!D13/NºAsuntos!G13),'Resol  Asuntos'!D13/NºAsuntos!G13," - ")</f>
        <v>0.29418103448275862</v>
      </c>
      <c r="AO13" s="876">
        <f>IF(ISNUMBER((NºAsuntos!C13+NºAsuntos!E13)/NºAsuntos!G13),(NºAsuntos!C13+NºAsuntos!E13)/NºAsuntos!G13," - ")</f>
        <v>2.3469827586206895</v>
      </c>
      <c r="AP13" s="877" t="str">
        <f t="shared" si="2"/>
        <v xml:space="preserve"> - </v>
      </c>
      <c r="AQ13" s="877">
        <f>IF(ISNUMBER((H13-W13+K13)/(F13)),(H13-W13+K13)/(F13)," - ")</f>
        <v>-0.33333333333333331</v>
      </c>
      <c r="AR13" s="878">
        <f>IF(ISNUMBER((Datos!P13-Datos!Q13)/(Datos!R13-Datos!P13+Datos!Q13)),(Datos!P13-Datos!Q13)/(Datos!R13-Datos!P13+Datos!Q13)," - ")</f>
        <v>2.8836251287332648E-2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826</v>
      </c>
      <c r="G16" s="333">
        <f>IF(ISNUMBER(IF(D_I="SI",Datos!I16,Datos!I16+Datos!AC16)),IF(D_I="SI",Datos!I16,Datos!I16+Datos!AC16)," - ")</f>
        <v>826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531</v>
      </c>
      <c r="X16" s="226">
        <f>IF(ISNUMBER(Datos!Q16),Datos!Q16," - ")</f>
        <v>20</v>
      </c>
      <c r="Y16" s="334">
        <f t="shared" ref="Y16:Y17" si="7">SUM(W16:X16)</f>
        <v>551</v>
      </c>
      <c r="Z16" s="335" t="str">
        <f>IF(ISNUMBER(Datos!CC16),Datos!CC16," - ")</f>
        <v xml:space="preserve"> - </v>
      </c>
      <c r="AA16" s="332">
        <f>IF(ISNUMBER(IF(D_I="SI",Datos!L16,Datos!L16+Datos!AF16)),IF(D_I="SI",Datos!L16,Datos!L16+Datos!AF16)," - ")</f>
        <v>784</v>
      </c>
      <c r="AB16" s="334">
        <f>IF(ISNUMBER(Datos!R16),Datos!R16," - ")</f>
        <v>191</v>
      </c>
      <c r="AC16" s="334">
        <f t="shared" si="6"/>
        <v>975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71</v>
      </c>
      <c r="AJ16" s="231" t="str">
        <f>IF(ISNUMBER(Datos!BW16),Datos!BW16," - ")</f>
        <v xml:space="preserve"> - </v>
      </c>
      <c r="AK16" s="232" t="str">
        <f>IF(ISNUMBER(Datos!BX16),Datos!BX16," - ")</f>
        <v xml:space="preserve"> - </v>
      </c>
      <c r="AL16" s="243">
        <f>IF(ISNUMBER(NºAsuntos!G16/NºAsuntos!E16),NºAsuntos!G16/NºAsuntos!E16," - ")</f>
        <v>1.0858895705521472</v>
      </c>
      <c r="AM16" s="260">
        <f>IF(ISNUMBER(((NºAsuntos!I16/NºAsuntos!G16)*11)/factor_trimestre),((NºAsuntos!I16/NºAsuntos!G16)*11)/factor_trimestre," - ")</f>
        <v>4.4293785310734473</v>
      </c>
      <c r="AN16" s="244">
        <f>IF(ISNUMBER('Resol  Asuntos'!D16/NºAsuntos!G16),'Resol  Asuntos'!D16/NºAsuntos!G16," - ")</f>
        <v>0.13370998116760829</v>
      </c>
      <c r="AO16" s="245">
        <f>IF(ISNUMBER((NºAsuntos!C16+NºAsuntos!E16)/NºAsuntos!G16),(NºAsuntos!C16+NºAsuntos!E16)/NºAsuntos!G16," - ")</f>
        <v>2.4764595103578153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v>
      </c>
      <c r="X17" s="226">
        <f>IF(ISNUMBER(Datos!Q17),Datos!Q17," - ")</f>
        <v>0</v>
      </c>
      <c r="Y17" s="334">
        <f t="shared" si="7"/>
        <v>44</v>
      </c>
      <c r="Z17" s="335" t="str">
        <f>IF(ISNUMBER(Datos!CC17),Datos!CC17," - ")</f>
        <v xml:space="preserve"> - </v>
      </c>
      <c r="AA17" s="332">
        <f>IF(ISNUMBER(Datos!L17),Datos!L17,"-")</f>
        <v>54</v>
      </c>
      <c r="AB17" s="334">
        <f>IF(ISNUMBER(Datos!R17),Datos!R17," - ")</f>
        <v>0</v>
      </c>
      <c r="AC17" s="334">
        <f t="shared" si="6"/>
        <v>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0.7857142857142857</v>
      </c>
      <c r="AM17" s="260">
        <f>IF(ISNUMBER(((NºAsuntos!I17/NºAsuntos!G17)*11)/factor_trimestre),((NºAsuntos!I17/NºAsuntos!G17)*11)/factor_trimestre," - ")</f>
        <v>3.6818181818181821</v>
      </c>
      <c r="AN17" s="244">
        <f>IF(ISNUMBER('Resol  Asuntos'!D17/NºAsuntos!G17),'Resol  Asuntos'!D17/NºAsuntos!G17," - ")</f>
        <v>0.11363636363636363</v>
      </c>
      <c r="AO17" s="245">
        <f>IF(ISNUMBER((NºAsuntos!C17+NºAsuntos!E17)/NºAsuntos!G17),(NºAsuntos!C17+NºAsuntos!E17)/NºAsuntos!G17," - ")</f>
        <v>2.2272727272727271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826</v>
      </c>
      <c r="G18" s="866">
        <f>SUBTOTAL(9,G15:G17)</f>
        <v>868</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575</v>
      </c>
      <c r="X18" s="867">
        <f t="shared" si="11"/>
        <v>20</v>
      </c>
      <c r="Y18" s="868">
        <f t="shared" si="11"/>
        <v>595</v>
      </c>
      <c r="Z18" s="868">
        <f t="shared" si="11"/>
        <v>0</v>
      </c>
      <c r="AA18" s="868">
        <f t="shared" si="11"/>
        <v>838</v>
      </c>
      <c r="AB18" s="868">
        <f t="shared" si="11"/>
        <v>191</v>
      </c>
      <c r="AC18" s="868">
        <f t="shared" si="11"/>
        <v>1029</v>
      </c>
      <c r="AD18" s="868">
        <f t="shared" si="11"/>
        <v>0</v>
      </c>
      <c r="AE18" s="872">
        <f t="shared" si="11"/>
        <v>0</v>
      </c>
      <c r="AF18" s="865">
        <f t="shared" si="11"/>
        <v>0</v>
      </c>
      <c r="AG18" s="873">
        <f t="shared" si="11"/>
        <v>0</v>
      </c>
      <c r="AH18" s="870">
        <f t="shared" si="11"/>
        <v>0</v>
      </c>
      <c r="AI18" s="865">
        <f t="shared" si="11"/>
        <v>76</v>
      </c>
      <c r="AJ18" s="867">
        <f t="shared" si="11"/>
        <v>0</v>
      </c>
      <c r="AK18" s="870">
        <f t="shared" si="11"/>
        <v>0</v>
      </c>
      <c r="AL18" s="874">
        <f>IF(ISNUMBER(NºAsuntos!G18/NºAsuntos!E18),NºAsuntos!G18/NºAsuntos!E18," - ")</f>
        <v>1.0550458715596329</v>
      </c>
      <c r="AM18" s="874">
        <f>IF(ISNUMBER(((NºAsuntos!I18/NºAsuntos!G18)*11)/factor_trimestre),((NºAsuntos!I18/NºAsuntos!G18)*11)/factor_trimestre," - ")</f>
        <v>4.3721739130434782</v>
      </c>
      <c r="AN18" s="875">
        <f>IF(ISNUMBER('Resol  Asuntos'!D18/NºAsuntos!G18),'Resol  Asuntos'!D18/NºAsuntos!G18," - ")</f>
        <v>0.13217391304347825</v>
      </c>
      <c r="AO18" s="876">
        <f>IF(ISNUMBER((NºAsuntos!C18+NºAsuntos!E18)/NºAsuntos!G18),(NºAsuntos!C18+NºAsuntos!E18)/NºAsuntos!G18," - ")</f>
        <v>2.4573913043478259</v>
      </c>
      <c r="AP18" s="877" t="str">
        <f t="shared" si="2"/>
        <v xml:space="preserve"> - </v>
      </c>
      <c r="AQ18" s="877">
        <f>IF(ISNUMBER((H18-W18+K18)/(F18)),(H18-W18+K18)/(F18)," - ")</f>
        <v>-0.69612590799031482</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835</v>
      </c>
      <c r="G19" s="821">
        <f t="shared" si="13"/>
        <v>877</v>
      </c>
      <c r="H19" s="820">
        <f t="shared" si="13"/>
        <v>0</v>
      </c>
      <c r="I19" s="822">
        <f t="shared" si="13"/>
        <v>0</v>
      </c>
      <c r="J19" s="822">
        <f t="shared" si="13"/>
        <v>0</v>
      </c>
      <c r="K19" s="881">
        <f t="shared" si="13"/>
        <v>0</v>
      </c>
      <c r="L19" s="822">
        <f t="shared" si="13"/>
        <v>222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578</v>
      </c>
      <c r="X19" s="821">
        <f t="shared" si="14"/>
        <v>166</v>
      </c>
      <c r="Y19" s="828">
        <f t="shared" si="14"/>
        <v>744</v>
      </c>
      <c r="Z19" s="828">
        <f t="shared" si="14"/>
        <v>0</v>
      </c>
      <c r="AA19" s="828">
        <f t="shared" si="14"/>
        <v>848</v>
      </c>
      <c r="AB19" s="828">
        <f t="shared" si="14"/>
        <v>2189</v>
      </c>
      <c r="AC19" s="828">
        <f t="shared" si="14"/>
        <v>1041</v>
      </c>
      <c r="AD19" s="828">
        <f t="shared" si="14"/>
        <v>0</v>
      </c>
      <c r="AE19" s="830">
        <f t="shared" si="14"/>
        <v>0</v>
      </c>
      <c r="AF19" s="831">
        <f t="shared" si="14"/>
        <v>0</v>
      </c>
      <c r="AG19" s="832">
        <f t="shared" si="14"/>
        <v>0</v>
      </c>
      <c r="AH19" s="830">
        <f t="shared" si="14"/>
        <v>0</v>
      </c>
      <c r="AI19" s="820">
        <f t="shared" si="14"/>
        <v>349</v>
      </c>
      <c r="AJ19" s="820">
        <f t="shared" si="14"/>
        <v>0</v>
      </c>
      <c r="AK19" s="830">
        <f t="shared" si="14"/>
        <v>0</v>
      </c>
      <c r="AL19" s="884">
        <f>IF(ISNUMBER(NºAsuntos!G19/NºAsuntos!E19),NºAsuntos!G19/NºAsuntos!E19," - ")</f>
        <v>0.86979166666666663</v>
      </c>
      <c r="AM19" s="885">
        <f>IF(ISNUMBER(((NºAsuntos!I19/NºAsuntos!G19)*11)/factor_trimestre),((NºAsuntos!I19/NºAsuntos!G19)*11)/factor_trimestre," - ")</f>
        <v>4.1676646706586826</v>
      </c>
      <c r="AN19" s="885">
        <f>IF(ISNUMBER('Resol  Asuntos'!D19/NºAsuntos!G19),'Resol  Asuntos'!D19/NºAsuntos!G19," - ")</f>
        <v>0.2322022621423819</v>
      </c>
      <c r="AO19" s="886">
        <f>IF(ISNUMBER((NºAsuntos!C19+NºAsuntos!E19)/NºAsuntos!G19),(NºAsuntos!C19+NºAsuntos!E19)/NºAsuntos!G19," - ")</f>
        <v>2.3892215568862274</v>
      </c>
      <c r="AP19" s="887" t="str">
        <f t="shared" si="2"/>
        <v xml:space="preserve"> - </v>
      </c>
      <c r="AQ19" s="888">
        <f>IF(OR(ISNUMBER(FIND("01",Criterios!A8,1)),ISNUMBER(FIND("02",Criterios!A8,1)),ISNUMBER(FIND("03",Criterios!A8,1)),ISNUMBER(FIND("04",Criterios!A8,1))),(I19-W19+K19)/(F19-K19),(H19-W19+K19)/(F19-K19))</f>
        <v>-0.69221556886227542</v>
      </c>
      <c r="AR19" s="889">
        <f>IF(ISNUMBER((Datos!P19-Datos!Q19)/(Datos!R19-Datos!P19+Datos!Q19)),(Datos!P19-Datos!Q19)/(Datos!R19-Datos!P19+Datos!Q19)," - ")</f>
        <v>2.6254102203469291E-2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471.69516992792427</v>
      </c>
      <c r="G21" s="253">
        <f>IF(ISNUMBER(STDEV(G8:G18)),STDEV(G8:G18),"-")</f>
        <v>453.41007928805465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294.64928304681143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124.59159950280221</v>
      </c>
      <c r="AJ21" s="252">
        <f t="shared" si="18"/>
        <v>0</v>
      </c>
      <c r="AK21" s="254">
        <f t="shared" si="18"/>
        <v>0</v>
      </c>
      <c r="AL21" s="249">
        <f t="shared" si="18"/>
        <v>0.15288133335058957</v>
      </c>
      <c r="AM21" s="250">
        <f t="shared" si="18"/>
        <v>2.4201118588630002</v>
      </c>
      <c r="AN21" s="250">
        <f t="shared" si="18"/>
        <v>0.20997516386719975</v>
      </c>
      <c r="AO21" s="251">
        <f t="shared" si="18"/>
        <v>0.80670395295433261</v>
      </c>
      <c r="AP21" s="291" t="str">
        <f t="shared" si="18"/>
        <v>-</v>
      </c>
      <c r="AQ21" s="292">
        <f t="shared" si="18"/>
        <v>0.25653308970407851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fktiNbSERbpEJZpBfKCGaG7po0kLW06B2hXedpDAwOibuncDjPuNSpVM4H8W7oxKUVmzegZGd9OxmH3z046FGg==" saltValue="xDEeE9VXcrK5CDFEJE8jw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MIERES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0.33333333333333331</v>
      </c>
      <c r="F10" s="348">
        <f>IF(ISNUMBER((Datos!K10-Datos!U10)/Datos!U10),(Datos!K10-Datos!U10)/Datos!U10," - ")</f>
        <v>-0.5</v>
      </c>
      <c r="G10" s="349">
        <f>IF(ISNUMBER((Datos!L10-Datos!V10)/Datos!V10),(Datos!L10-Datos!V10)/Datos!V10," - ")</f>
        <v>0.66666666666666663</v>
      </c>
      <c r="H10" s="230">
        <f>IF(ISNUMBER((Datos!M10-Datos!W10)/Datos!W10),(Datos!M10-Datos!W10)/Datos!W10," - ")</f>
        <v>-0.5</v>
      </c>
      <c r="I10" s="350">
        <f>IF(ISNUMBER((Tasas!C10-Datos!BE10)/Datos!BE10),(Tasas!C10-Datos!BE10)/Datos!BE10," - ")</f>
        <v>2.3333333333333335</v>
      </c>
      <c r="J10" s="349">
        <f>IF(ISNUMBER((Tasas!D10-Datos!BF10)/Datos!BF10),(Tasas!D10-Datos!BF10)/Datos!BF10," - ")</f>
        <v>0</v>
      </c>
      <c r="K10" s="351">
        <f>IF(ISNUMBER((Tasas!E10-Datos!BG10)/Datos!BG10),(Tasas!E10-Datos!BG10)/Datos!BG10," - ")</f>
        <v>1.1666666666666665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0.24884792626728111</v>
      </c>
      <c r="I12" s="350">
        <f>IF(ISNUMBER((Tasas!C12-Datos!BE12)/Datos!BE12),(Tasas!C12-Datos!BE12)/Datos!BE12," - ")</f>
        <v>-4.5723481800538264E-3</v>
      </c>
      <c r="J12" s="349">
        <f>IF(ISNUMBER((Tasas!D12-Datos!BF12)/Datos!BF12),(Tasas!D12-Datos!BF12)/Datos!BF12," - ")</f>
        <v>-0.33214763150247023</v>
      </c>
      <c r="K12" s="351">
        <f>IF(ISNUMBER((Tasas!E12-Datos!BG12)/Datos!BG12),(Tasas!E12-Datos!BG12)/Datos!BG12," - ")</f>
        <v>-2.6239304631264612E-3</v>
      </c>
      <c r="M12" t="e">
        <f>IF(Monitorios="SI",Datos!CE12,0)</f>
        <v>#REF!</v>
      </c>
      <c r="N12" t="e">
        <f>IF(Monitorios="SI",Datos!CF12,0)</f>
        <v>#REF!</v>
      </c>
      <c r="O12" t="e">
        <f>IF(Monitorios="SI",Datos!CG12,0)</f>
        <v>#REF!</v>
      </c>
      <c r="P12" t="e">
        <f>IF(Monitorios="SI",Datos!CH12,0)</f>
        <v>#REF!</v>
      </c>
      <c r="Q12">
        <f>IF(J_V="SI",0,Datos!AG12)</f>
        <v>44</v>
      </c>
      <c r="R12">
        <f>IF(J_V="SI",0,Datos!AH12)</f>
        <v>55</v>
      </c>
      <c r="S12">
        <f>IF(J_V="SI",0,Datos!AI12)</f>
        <v>72</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0.23529411764705882</v>
      </c>
      <c r="I13" s="357">
        <f>IF(ISNUMBER((Tasas!C13-Datos!BE13)/Datos!BE13),(Tasas!C13-Datos!BE13)/Datos!BE13," - ")</f>
        <v>2.0237594617326456E-3</v>
      </c>
      <c r="J13" s="355">
        <f>IF(ISNUMBER((Tasas!D13-Datos!BF13)/Datos!BF13),(Tasas!D13-Datos!BF13)/Datos!BF13," - ")</f>
        <v>-0.33183350146735141</v>
      </c>
      <c r="K13" s="358">
        <f>IF(ISNUMBER((Tasas!E13-Datos!BG13)/Datos!BG13),(Tasas!E13-Datos!BG13)/Datos!BG13," - ")</f>
        <v>1.160477453580768E-3</v>
      </c>
      <c r="M13" t="e">
        <f>IF(Monitorios="SI",Datos!CE13,0)</f>
        <v>#REF!</v>
      </c>
      <c r="N13" t="e">
        <f>IF(Monitorios="SI",Datos!CF13,0)</f>
        <v>#REF!</v>
      </c>
      <c r="O13" t="e">
        <f>IF(Monitorios="SI",Datos!CG13,0)</f>
        <v>#REF!</v>
      </c>
      <c r="P13" t="e">
        <f>IF(Monitorios="SI",Datos!CH13,0)</f>
        <v>#REF!</v>
      </c>
      <c r="Q13">
        <f>IF(J_V="SI",0,Datos!AG13)</f>
        <v>44</v>
      </c>
      <c r="R13">
        <f>IF(J_V="SI",0,Datos!AH13)</f>
        <v>55</v>
      </c>
      <c r="S13">
        <f>IF(J_V="SI",0,Datos!AI13)</f>
        <v>72</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0.12687585266030013</v>
      </c>
      <c r="E16" s="348">
        <f>IF(ISNUMBER(
   IF(D_I="SI",(Datos!J16-Datos!T16)/Datos!T16,(Datos!J16+Datos!AD16-(Datos!T16+Datos!AL16))/(Datos!T16+Datos!AL16))
     ),IF(D_I="SI",(Datos!J16-Datos!T16)/Datos!T16,(Datos!J16+Datos!AD16-(Datos!T16+Datos!AL16))/(Datos!T16+Datos!AL16))," - ")</f>
        <v>-6.0975609756097563E-3</v>
      </c>
      <c r="F16" s="348">
        <f>IF(ISNUMBER(
   IF(D_I="SI",(Datos!K16-Datos!U16)/Datos!U16,(Datos!K16+Datos!AE16-(Datos!U16+Datos!AM16))/(Datos!U16+Datos!AM16))
     ),IF(D_I="SI",(Datos!K16-Datos!U16)/Datos!U16,(Datos!K16+Datos!AE16-(Datos!U16+Datos!AM16))/(Datos!U16+Datos!AM16))," - ")</f>
        <v>0.10855949895615867</v>
      </c>
      <c r="G16" s="349">
        <f>IF(ISNUMBER(
   IF(D_I="SI",(Datos!L16-Datos!V16)/Datos!V16,(Datos!L16+Datos!AF16-(Datos!V16+Datos!AN16))/(Datos!V16+Datos!AN16))
     ),IF(D_I="SI",(Datos!L16-Datos!V16)/Datos!V16,(Datos!L16+Datos!AF16-(Datos!V16+Datos!AN16))/(Datos!V16+Datos!AN16))," - ")</f>
        <v>4.6728971962616821E-2</v>
      </c>
      <c r="H16" s="230">
        <f>IF(ISNUMBER((Datos!M16-Datos!W16)/Datos!W16),(Datos!M16-Datos!W16)/Datos!W16," - ")</f>
        <v>-0.1125</v>
      </c>
      <c r="I16" s="350">
        <f>IF(ISNUMBER((Tasas!C16-Datos!BE16)/Datos!BE16),(Tasas!C16-Datos!BE16)/Datos!BE16," - ")</f>
        <v>-5.5775560131650644E-2</v>
      </c>
      <c r="J16" s="349">
        <f>IF(ISNUMBER((Tasas!D16-Datos!BF16)/Datos!BF16),(Tasas!D16-Datos!BF16)/Datos!BF16," - ")</f>
        <v>-0.19941148775894532</v>
      </c>
      <c r="K16" s="351">
        <f>IF(ISNUMBER((Tasas!E16-Datos!BG16)/Datos!BG16),(Tasas!E16-Datos!BG16)/Datos!BG16," - ")</f>
        <v>-3.1653791460086907E-2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0.3125</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4.7619047619047616E-2</v>
      </c>
      <c r="G17" s="349">
        <f>IF(ISNUMBER(
   IF(D_I="SI",(Datos!L17-Datos!V17)/Datos!V17,(Datos!L17+Datos!AF17-(Datos!V17+Datos!AN17))/(Datos!V17+Datos!AN17))
     ),IF(D_I="SI",(Datos!L17-Datos!V17)/Datos!V17,(Datos!L17+Datos!AF17-(Datos!V17+Datos!AN17))/(Datos!V17+Datos!AN17))," - ")</f>
        <v>0.6875</v>
      </c>
      <c r="H17" s="230">
        <f>IF(ISNUMBER((Datos!M17-Datos!W17)/Datos!W17),(Datos!M17-Datos!W17)/Datos!W17," - ")</f>
        <v>-0.58333333333333337</v>
      </c>
      <c r="I17" s="350">
        <f>IF(ISNUMBER((Tasas!C17-Datos!BE17)/Datos!BE17),(Tasas!C17-Datos!BE17)/Datos!BE17," - ")</f>
        <v>0.6107954545454547</v>
      </c>
      <c r="J17" s="349">
        <f>IF(ISNUMBER((Tasas!D17-Datos!BF17)/Datos!BF17),(Tasas!D17-Datos!BF17)/Datos!BF17," - ")</f>
        <v>-0.60227272727272718</v>
      </c>
      <c r="K17" s="351">
        <f>IF(ISNUMBER((Tasas!E17-Datos!BG17)/Datos!BG17),(Tasas!E17-Datos!BG17)/Datos!BG17," - ")</f>
        <v>0.26412776412776406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0.13464052287581699</v>
      </c>
      <c r="E18" s="354">
        <f>IF(ISNUMBER(
   IF(D_I="SI",(Datos!J18-Datos!T18)/Datos!T18,(Datos!J18+Datos!AD18-(Datos!T18+Datos!AL18))/(Datos!T18+Datos!AL18))
     ),IF(D_I="SI",(Datos!J18-Datos!T18)/Datos!T18,(Datos!J18+Datos!AD18-(Datos!T18+Datos!AL18))/(Datos!T18+Datos!AL18))," - ")</f>
        <v>2.0599250936329586E-2</v>
      </c>
      <c r="F18" s="354">
        <f>IF(ISNUMBER(
   IF(D_I="SI",(Datos!K18-Datos!U18)/Datos!U18,(Datos!K18+Datos!AE18-(Datos!U18+Datos!AM18))/(Datos!U18+Datos!AM18))
     ),IF(D_I="SI",(Datos!K18-Datos!U18)/Datos!U18,(Datos!K18+Datos!AE18-(Datos!U18+Datos!AM18))/(Datos!U18+Datos!AM18))," - ")</f>
        <v>0.1036468330134357</v>
      </c>
      <c r="G18" s="355">
        <f>IF(ISNUMBER(
   IF(D_I="SI",(Datos!L18-Datos!V18)/Datos!V18,(Datos!L18+Datos!AF18-(Datos!V18+Datos!AN18))/(Datos!V18+Datos!AN18))
     ),IF(D_I="SI",(Datos!L18-Datos!V18)/Datos!V18,(Datos!L18+Datos!AF18-(Datos!V18+Datos!AN18))/(Datos!V18+Datos!AN18))," - ")</f>
        <v>7.2983354673495524E-2</v>
      </c>
      <c r="H18" s="356">
        <f>IF(ISNUMBER((Datos!M18-Datos!W18)/Datos!W18),(Datos!M18-Datos!W18)/Datos!W18," - ")</f>
        <v>-0.17391304347826086</v>
      </c>
      <c r="I18" s="357">
        <f>IF(ISNUMBER((Tasas!C18-Datos!BE18)/Datos!BE18),(Tasas!C18-Datos!BE18)/Datos!BE18," - ")</f>
        <v>-2.7783777765406678E-2</v>
      </c>
      <c r="J18" s="355">
        <f>IF(ISNUMBER((Tasas!D18-Datos!BF18)/Datos!BF18),(Tasas!D18-Datos!BF18)/Datos!BF18," - ")</f>
        <v>-0.25149338374291114</v>
      </c>
      <c r="K18" s="358">
        <f>IF(ISNUMBER((Tasas!E18-Datos!BG18)/Datos!BG18),(Tasas!E18-Datos!BG18)/Datos!BG18," - ")</f>
        <v>-1.4395019580279264E-2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-4.9489795918367344E-2</v>
      </c>
      <c r="E19" s="363">
        <f>IF(ISNUMBER(
   IF(J_V="SI",(Datos!J19-Datos!T19)/Datos!T19,(Datos!J19+Datos!Z19-(Datos!T19+Datos!AH19))/(Datos!T19+Datos!AH19))
     ),IF(J_V="SI",(Datos!J19-Datos!T19)/Datos!T19,(Datos!J19+Datos!Z19-(Datos!T19+Datos!AH19))/(Datos!T19+Datos!AH19))," - ")</f>
        <v>0.28859060402684567</v>
      </c>
      <c r="F19" s="363">
        <f>IF(ISNUMBER(
   IF(J_V="SI",(Datos!K19-Datos!U19)/Datos!U19,(Datos!K19+Datos!AA19-(Datos!U19+Datos!AI19))/(Datos!U19+Datos!AI19))
     ),IF(J_V="SI",(Datos!K19-Datos!U19)/Datos!U19,(Datos!K19+Datos!AA19-(Datos!U19+Datos!AI19))/(Datos!U19+Datos!AI19))," - ")</f>
        <v>9.3090909090909085E-2</v>
      </c>
      <c r="G19" s="364">
        <f>IF(ISNUMBER(
   IF(J_V="SI",(Datos!L19-Datos!V19)/Datos!V19,(Datos!L19+Datos!AB19-(Datos!V19+Datos!AJ19))/(Datos!V19+Datos!AJ19))
     ),IF(J_V="SI",(Datos!L19-Datos!V19)/Datos!V19,(Datos!L19+Datos!AB19-(Datos!V19+Datos!AJ19))/(Datos!V19+Datos!AJ19))," - ")</f>
        <v>8.2426127527216175E-2</v>
      </c>
      <c r="H19" s="365">
        <f>IF(ISNUMBER((Datos!M19-Datos!W19)/Datos!W19),(Datos!M19-Datos!W19)/Datos!W19," - ")</f>
        <v>0.11501597444089456</v>
      </c>
      <c r="I19" s="362">
        <f>IF(ISNUMBER((Tasas!C19-Datos!BE19)/Datos!BE19),(Tasas!C19-Datos!BE19)/Datos!BE19," - ")</f>
        <v>-9.7565366933317754E-3</v>
      </c>
      <c r="J19" s="363">
        <f>IF(ISNUMBER((Tasas!D19-Datos!BF19)/Datos!BF19),(Tasas!D19-Datos!BF19)/Datos!BF19," - ")</f>
        <v>-0.31778181528680532</v>
      </c>
      <c r="K19" s="364">
        <f>IF(ISNUMBER((Tasas!E19-Datos!BG19)/Datos!BG19),(Tasas!E19-Datos!BG19)/Datos!BG19," - ")</f>
        <v>-4.7925959652945042E-3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0.12846283839129827</v>
      </c>
      <c r="E21" s="278">
        <f t="shared" si="1"/>
        <v>0.18857902772542315</v>
      </c>
      <c r="F21" s="278">
        <f t="shared" si="1"/>
        <v>0.29460393889143061</v>
      </c>
      <c r="G21" s="279">
        <f t="shared" si="1"/>
        <v>0.35661886265298298</v>
      </c>
      <c r="H21" s="285">
        <f t="shared" si="1"/>
        <v>0.35206605846121686</v>
      </c>
      <c r="I21" s="277">
        <f t="shared" si="1"/>
        <v>0.94446205265786254</v>
      </c>
      <c r="J21" s="278">
        <f t="shared" si="1"/>
        <v>0.19735389786252761</v>
      </c>
      <c r="K21" s="279">
        <f t="shared" si="1"/>
        <v>0.47184328024818822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KdVYfTXfxCiROprZdpstO6L9LILH1uiy7Phja9FVuv/GhzcvoLehF3hMwkztZEf0s5LKIMfOuU19S+UtntxvQ==" saltValue="4geOY60p21k9eADuvSoll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4</v>
      </c>
      <c r="F10" s="226">
        <f>IF(ISNUMBER(Datos!K10),Datos!K10," - ")</f>
        <v>3</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36.666666666666671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14.745945945945946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826</v>
      </c>
      <c r="D16" s="225">
        <f>IF(ISNUMBER(IF(D_I="SI",Datos!I16,Datos!I16+Datos!AC16)),IF(D_I="SI",Datos!I16,Datos!I16+Datos!AC16)," - ")</f>
        <v>826</v>
      </c>
      <c r="E16" s="226">
        <f>IF(ISNUMBER(IF(D_I="SI",Datos!J16,Datos!J16+Datos!AD16)),IF(D_I="SI",Datos!J16,Datos!J16+Datos!AD16)," - ")</f>
        <v>489</v>
      </c>
      <c r="F16" s="226">
        <f>IF(ISNUMBER(IF(D_I="SI",Datos!K16,Datos!K16+Datos!AE16)),IF(D_I="SI",Datos!K16,Datos!K16+Datos!AE16)," - ")</f>
        <v>531</v>
      </c>
      <c r="G16" s="1034" t="str">
        <f>IF(Datos!E16&lt;&gt;"",Datos!E16,Datos!D16)</f>
        <v>04</v>
      </c>
      <c r="H16" s="227">
        <f>IF(ISNUMBER(IF(D_I="SI",Datos!L16,Datos!L16+Datos!AF16)),IF(D_I="SI",Datos!L16,Datos!L16+Datos!AF16)," - ")</f>
        <v>784</v>
      </c>
      <c r="I16" s="1044" t="str">
        <f>IF(ISNUMBER(Datos!AS16/Datos!BM16),Datos!AS16/Datos!BM16," - ")</f>
        <v xml:space="preserve"> - </v>
      </c>
      <c r="J16" s="1045">
        <f>IF(ISNUMBER(Datos!BY16/Datos!CN16),Datos!BY16/Datos!CN16," - ")</f>
        <v>0</v>
      </c>
      <c r="K16" s="230">
        <f t="shared" si="3"/>
        <v>-5.0847457627118647E-2</v>
      </c>
      <c r="L16" s="1025">
        <f>IF(ISNUMBER(NºAsuntos!I16/NºAsuntos!G16),(NºAsuntos!I16/NºAsuntos!G16)*11," - ")</f>
        <v>16.241054613935972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42</v>
      </c>
      <c r="D17" s="225">
        <f>IF(ISNUMBER(IF(D_I="SI",Datos!I17,Datos!I17+Datos!AC17)),IF(D_I="SI",Datos!I17,Datos!I17+Datos!AC17)," - ")</f>
        <v>42</v>
      </c>
      <c r="E17" s="226">
        <f>IF(ISNUMBER(IF(D_I="SI",Datos!J17,Datos!J17+Datos!AD17)),IF(D_I="SI",Datos!J17,Datos!J17+Datos!AD17)," - ")</f>
        <v>56</v>
      </c>
      <c r="F17" s="226">
        <f>IF(ISNUMBER(IF(D_I="SI",Datos!K17,Datos!K17+Datos!AE17)),IF(D_I="SI",Datos!K17,Datos!K17+Datos!AE17)," - ")</f>
        <v>44</v>
      </c>
      <c r="G17" s="1034" t="str">
        <f>IF(Datos!E17&lt;&gt;"",Datos!E17,Datos!D17)</f>
        <v>37</v>
      </c>
      <c r="H17" s="227">
        <f>IF(ISNUMBER(IF(D_I="SI",Datos!L17,Datos!L17+Datos!AF17)),IF(D_I="SI",Datos!L17,Datos!L17+Datos!AF17)," - ")</f>
        <v>54</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13.5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868</v>
      </c>
      <c r="D18" s="1049">
        <f>SUBTOTAL(9,D15:D17)</f>
        <v>868</v>
      </c>
      <c r="E18" s="1050">
        <f>SUBTOTAL(9,E15:E17)</f>
        <v>545</v>
      </c>
      <c r="F18" s="1050">
        <f>SUBTOTAL(9,F15:F17)</f>
        <v>575</v>
      </c>
      <c r="G18" s="1052" t="str">
        <f ca="1">INDIRECT(CONCATENATE("G",ROW()-1))</f>
        <v>37</v>
      </c>
      <c r="H18" s="1053">
        <f ca="1">SUMIF(G$14:G17,G18,H$14:H17)</f>
        <v>54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877</v>
      </c>
      <c r="D19" s="1071">
        <f>SUBTOTAL(9,D9:D18)</f>
        <v>877</v>
      </c>
      <c r="E19" s="1072">
        <f>SUBTOTAL(9,E9:E18)</f>
        <v>549</v>
      </c>
      <c r="F19" s="1072">
        <f>SUBTOTAL(9,F9:F18)</f>
        <v>578</v>
      </c>
      <c r="G19" s="1073"/>
      <c r="H19" s="1074">
        <f ca="1">SUMIF(B9:B18,"TOTAL",H9:H18)</f>
        <v>54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smcGaRlTjq+eGzjsU7TKmJvbjfP3ZUjcQTaZnjpzNy2kFjpDuJ+OJb9TFScocbjArQn5/ACw4jF/QMRUaYK0Xg==" saltValue="T514lIINUCAWnxPpovLzT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B8I0dTXgw8xh8VGgBj6LJJibjwHcf//+0bZUwzgqg8HXEqUU8xHt/ou57QO7lslOacK+bcEjNlVwG+igphHeg==" saltValue="vpR3/8TpYF9B/QcWH8kB3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4</v>
      </c>
      <c r="K10" s="181">
        <v>3</v>
      </c>
      <c r="L10" s="181">
        <v>10</v>
      </c>
      <c r="M10" s="181">
        <v>2</v>
      </c>
      <c r="N10" s="181">
        <v>0</v>
      </c>
      <c r="O10" s="181">
        <v>0</v>
      </c>
      <c r="P10" s="181">
        <v>0</v>
      </c>
      <c r="Q10" s="181">
        <v>0</v>
      </c>
      <c r="R10" s="181">
        <v>2</v>
      </c>
      <c r="S10" s="181">
        <v>9</v>
      </c>
      <c r="T10" s="181">
        <v>3</v>
      </c>
      <c r="U10" s="181">
        <v>6</v>
      </c>
      <c r="V10" s="181">
        <v>6</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9</v>
      </c>
      <c r="AZ10" s="129">
        <f t="shared" si="0"/>
        <v>3</v>
      </c>
      <c r="BA10" s="129">
        <f t="shared" si="0"/>
        <v>6</v>
      </c>
      <c r="BB10" s="129">
        <f t="shared" si="0"/>
        <v>6</v>
      </c>
      <c r="BC10" s="125">
        <f t="shared" si="0"/>
        <v>4</v>
      </c>
      <c r="BD10" s="126">
        <f>IF(ISNUMBER(BA10/AZ10),BA10/AZ10," - ")</f>
        <v>2</v>
      </c>
      <c r="BE10" s="127">
        <f>IF(ISNUMBER(BB10/BA10),BB10/BA10, " - ")</f>
        <v>1</v>
      </c>
      <c r="BF10" s="127">
        <f>IF(ISNUMBER(BC10/BA10),BC10/BA10, " - ")</f>
        <v>0.66666666666666663</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945</v>
      </c>
      <c r="J12" s="183">
        <v>1120</v>
      </c>
      <c r="K12" s="183">
        <v>870</v>
      </c>
      <c r="L12" s="183">
        <v>1195</v>
      </c>
      <c r="M12" s="183">
        <v>271</v>
      </c>
      <c r="N12" s="183">
        <v>463</v>
      </c>
      <c r="O12" s="181">
        <v>329</v>
      </c>
      <c r="P12" s="183">
        <v>202</v>
      </c>
      <c r="Q12" s="183">
        <v>146</v>
      </c>
      <c r="R12" s="183">
        <v>1996</v>
      </c>
      <c r="S12" s="183">
        <v>1142</v>
      </c>
      <c r="T12" s="183">
        <v>749</v>
      </c>
      <c r="U12" s="183">
        <v>776</v>
      </c>
      <c r="V12" s="183">
        <v>1115</v>
      </c>
      <c r="W12" s="183">
        <v>217</v>
      </c>
      <c r="X12" s="189">
        <v>372</v>
      </c>
      <c r="Y12" s="191">
        <v>41</v>
      </c>
      <c r="Z12" s="181">
        <v>59</v>
      </c>
      <c r="AA12" s="181">
        <v>55</v>
      </c>
      <c r="AB12" s="181">
        <v>45</v>
      </c>
      <c r="AC12" s="183">
        <v>0</v>
      </c>
      <c r="AD12" s="183">
        <v>0</v>
      </c>
      <c r="AE12" s="183">
        <v>0</v>
      </c>
      <c r="AF12" s="189">
        <v>0</v>
      </c>
      <c r="AG12" s="202">
        <v>44</v>
      </c>
      <c r="AH12" s="183">
        <v>55</v>
      </c>
      <c r="AI12" s="183">
        <v>72</v>
      </c>
      <c r="AJ12" s="203">
        <v>27</v>
      </c>
      <c r="AK12" s="182">
        <v>0</v>
      </c>
      <c r="AL12" s="183">
        <v>0</v>
      </c>
      <c r="AM12" s="183">
        <v>0</v>
      </c>
      <c r="AN12" s="189">
        <v>0</v>
      </c>
      <c r="AO12" s="259">
        <v>3</v>
      </c>
      <c r="AP12" s="155">
        <v>3</v>
      </c>
      <c r="AQ12" s="155">
        <v>3</v>
      </c>
      <c r="AR12" s="154">
        <v>3</v>
      </c>
      <c r="AS12" s="340" t="s">
        <v>801</v>
      </c>
      <c r="AT12" s="203"/>
      <c r="AU12" s="202"/>
      <c r="AV12" s="203"/>
      <c r="AW12" s="202"/>
      <c r="AX12" s="203"/>
      <c r="AY12" s="126">
        <f t="shared" si="1"/>
        <v>1186</v>
      </c>
      <c r="AZ12" s="127">
        <f t="shared" si="1"/>
        <v>804</v>
      </c>
      <c r="BA12" s="127">
        <f t="shared" si="1"/>
        <v>848</v>
      </c>
      <c r="BB12" s="127">
        <f t="shared" si="1"/>
        <v>1142</v>
      </c>
      <c r="BC12" s="125">
        <f>IF(ISNUMBER(X12),X12," - ")</f>
        <v>372</v>
      </c>
      <c r="BD12" s="126">
        <f t="shared" si="2"/>
        <v>1.0547263681592041</v>
      </c>
      <c r="BE12" s="127">
        <f t="shared" si="3"/>
        <v>1.3466981132075471</v>
      </c>
      <c r="BF12" s="127">
        <f t="shared" si="4"/>
        <v>0.43867924528301888</v>
      </c>
      <c r="BG12" s="196">
        <f t="shared" si="5"/>
        <v>2.3466981132075473</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954</v>
      </c>
      <c r="J13" s="184">
        <f t="shared" si="6"/>
        <v>1124</v>
      </c>
      <c r="K13" s="184">
        <f t="shared" si="6"/>
        <v>873</v>
      </c>
      <c r="L13" s="184">
        <f t="shared" si="6"/>
        <v>1205</v>
      </c>
      <c r="M13" s="184">
        <f t="shared" si="6"/>
        <v>273</v>
      </c>
      <c r="N13" s="184">
        <f t="shared" si="6"/>
        <v>463</v>
      </c>
      <c r="O13" s="184">
        <f t="shared" si="6"/>
        <v>329</v>
      </c>
      <c r="P13" s="184">
        <f t="shared" si="6"/>
        <v>202</v>
      </c>
      <c r="Q13" s="184">
        <f t="shared" si="6"/>
        <v>146</v>
      </c>
      <c r="R13" s="184">
        <f t="shared" si="6"/>
        <v>1998</v>
      </c>
      <c r="S13" s="184">
        <f t="shared" si="6"/>
        <v>1151</v>
      </c>
      <c r="T13" s="184">
        <f t="shared" si="6"/>
        <v>752</v>
      </c>
      <c r="U13" s="184">
        <f t="shared" si="6"/>
        <v>782</v>
      </c>
      <c r="V13" s="184">
        <f t="shared" si="6"/>
        <v>1121</v>
      </c>
      <c r="W13" s="184">
        <f t="shared" si="6"/>
        <v>221</v>
      </c>
      <c r="X13" s="184">
        <f t="shared" si="6"/>
        <v>372</v>
      </c>
      <c r="Y13" s="184">
        <f t="shared" si="6"/>
        <v>41</v>
      </c>
      <c r="Z13" s="184">
        <f t="shared" si="6"/>
        <v>59</v>
      </c>
      <c r="AA13" s="184">
        <f t="shared" si="6"/>
        <v>55</v>
      </c>
      <c r="AB13" s="184">
        <f t="shared" si="6"/>
        <v>45</v>
      </c>
      <c r="AC13" s="184">
        <f t="shared" si="6"/>
        <v>0</v>
      </c>
      <c r="AD13" s="184">
        <f t="shared" si="6"/>
        <v>0</v>
      </c>
      <c r="AE13" s="184">
        <f t="shared" si="6"/>
        <v>0</v>
      </c>
      <c r="AF13" s="184">
        <f>SUBTOTAL(9,AF9:AF12)</f>
        <v>0</v>
      </c>
      <c r="AG13" s="184">
        <f t="shared" ref="AG13:AT13" si="7">SUBTOTAL(9,AG8:AG12)</f>
        <v>44</v>
      </c>
      <c r="AH13" s="184">
        <f t="shared" si="7"/>
        <v>55</v>
      </c>
      <c r="AI13" s="184">
        <f t="shared" si="7"/>
        <v>72</v>
      </c>
      <c r="AJ13" s="184">
        <f t="shared" si="7"/>
        <v>27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1195</v>
      </c>
      <c r="AZ13" s="184">
        <f>SUBTOTAL(9,AZ8:AZ12)</f>
        <v>807</v>
      </c>
      <c r="BA13" s="184">
        <f>SUBTOTAL(9,BA8:BA12)</f>
        <v>854</v>
      </c>
      <c r="BB13" s="184">
        <f>SUBTOTAL(9,BB8:BB12)</f>
        <v>1148</v>
      </c>
      <c r="BC13" s="184">
        <f>SUBTOTAL(9,BC8:BC12)</f>
        <v>376</v>
      </c>
      <c r="BD13" s="205">
        <f>IF(ISNUMBER(BA13/AZ13),BA13/AZ13," - ")</f>
        <v>1.0582403965303593</v>
      </c>
      <c r="BE13" s="206">
        <f>IF(ISNUMBER(BB13/BA13),BB13/BA13, " - ")</f>
        <v>1.3442622950819672</v>
      </c>
      <c r="BF13" s="206">
        <f>IF(ISNUMBER(BC13/BA13),BC13/BA13, " - ")</f>
        <v>0.44028103044496486</v>
      </c>
      <c r="BG13" s="207">
        <f>IF(ISNUMBER((AY13+AZ13)/BA13),(AY13+AZ13)/BA13," - ")</f>
        <v>2.3442622950819674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826</v>
      </c>
      <c r="J16" s="183">
        <v>489</v>
      </c>
      <c r="K16" s="183">
        <v>531</v>
      </c>
      <c r="L16" s="183">
        <v>784</v>
      </c>
      <c r="M16" s="183">
        <v>71</v>
      </c>
      <c r="N16" s="183">
        <v>313</v>
      </c>
      <c r="O16" s="181">
        <v>9</v>
      </c>
      <c r="P16" s="183">
        <v>20</v>
      </c>
      <c r="Q16" s="183">
        <v>20</v>
      </c>
      <c r="R16" s="183">
        <v>191</v>
      </c>
      <c r="S16" s="183">
        <v>733</v>
      </c>
      <c r="T16" s="183">
        <v>492</v>
      </c>
      <c r="U16" s="183">
        <v>479</v>
      </c>
      <c r="V16" s="183">
        <v>749</v>
      </c>
      <c r="W16" s="183">
        <v>80</v>
      </c>
      <c r="X16" s="189">
        <v>322</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733</v>
      </c>
      <c r="AZ16" s="127">
        <f t="shared" si="9"/>
        <v>492</v>
      </c>
      <c r="BA16" s="127">
        <f t="shared" si="9"/>
        <v>479</v>
      </c>
      <c r="BB16" s="127">
        <f t="shared" si="9"/>
        <v>749</v>
      </c>
      <c r="BC16" s="125">
        <f>IF(ISNUMBER(W16),W16," - ")</f>
        <v>80</v>
      </c>
      <c r="BD16" s="126">
        <f t="shared" ref="BD16" si="11">IF(ISNUMBER(BA16/AZ16),BA16/AZ16," - ")</f>
        <v>0.97357723577235777</v>
      </c>
      <c r="BE16" s="127">
        <f t="shared" ref="BE16" si="12">IF(ISNUMBER(BB16/BA16),BB16/BA16, " - ")</f>
        <v>1.5636743215031315</v>
      </c>
      <c r="BF16" s="127">
        <f t="shared" ref="BF16" si="13">IF(ISNUMBER(BC16/BA16),BC16/BA16, " - ")</f>
        <v>0.16701461377870563</v>
      </c>
      <c r="BG16" s="196">
        <f t="shared" si="10"/>
        <v>2.55741127348643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v>
      </c>
      <c r="J17" s="183">
        <v>56</v>
      </c>
      <c r="K17" s="183">
        <v>44</v>
      </c>
      <c r="L17" s="183">
        <v>54</v>
      </c>
      <c r="M17" s="183">
        <v>5</v>
      </c>
      <c r="N17" s="183">
        <v>23</v>
      </c>
      <c r="O17" s="183">
        <v>0</v>
      </c>
      <c r="P17" s="183">
        <v>0</v>
      </c>
      <c r="Q17" s="183">
        <v>0</v>
      </c>
      <c r="R17" s="183">
        <v>0</v>
      </c>
      <c r="S17" s="183">
        <v>32</v>
      </c>
      <c r="T17" s="183">
        <v>42</v>
      </c>
      <c r="U17" s="183">
        <v>42</v>
      </c>
      <c r="V17" s="183">
        <v>32</v>
      </c>
      <c r="W17" s="183">
        <v>12</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32</v>
      </c>
      <c r="AZ17" s="129">
        <f t="shared" si="14"/>
        <v>42</v>
      </c>
      <c r="BA17" s="129">
        <f t="shared" si="14"/>
        <v>42</v>
      </c>
      <c r="BB17" s="129">
        <f t="shared" si="14"/>
        <v>32</v>
      </c>
      <c r="BC17" s="125">
        <f>IF(ISNUMBER(W17),W17," - ")</f>
        <v>12</v>
      </c>
      <c r="BD17" s="126">
        <f>IF(ISNUMBER(BA17/AZ17),BA17/AZ17," - ")</f>
        <v>1</v>
      </c>
      <c r="BE17" s="127">
        <f>IF(ISNUMBER(BB17/BA17),BB17/BA17, " - ")</f>
        <v>0.76190476190476186</v>
      </c>
      <c r="BF17" s="127">
        <f>IF(ISNUMBER(BC17/BA17),BC17/BA17, " - ")</f>
        <v>0.2857142857142857</v>
      </c>
      <c r="BG17" s="196">
        <f>IF(ISNUMBER((AY17+AZ17)/BA17),(AY17+AZ17)/BA17," - ")</f>
        <v>1.7619047619047619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868</v>
      </c>
      <c r="J18" s="184">
        <f t="shared" si="15"/>
        <v>545</v>
      </c>
      <c r="K18" s="184">
        <f t="shared" si="15"/>
        <v>575</v>
      </c>
      <c r="L18" s="184">
        <f t="shared" si="15"/>
        <v>838</v>
      </c>
      <c r="M18" s="184">
        <f t="shared" si="15"/>
        <v>76</v>
      </c>
      <c r="N18" s="184">
        <f t="shared" si="15"/>
        <v>336</v>
      </c>
      <c r="O18" s="184">
        <f t="shared" si="15"/>
        <v>9</v>
      </c>
      <c r="P18" s="184">
        <f t="shared" si="15"/>
        <v>20</v>
      </c>
      <c r="Q18" s="184">
        <f t="shared" si="15"/>
        <v>20</v>
      </c>
      <c r="R18" s="184">
        <f t="shared" si="15"/>
        <v>191</v>
      </c>
      <c r="S18" s="184">
        <f t="shared" si="15"/>
        <v>765</v>
      </c>
      <c r="T18" s="184">
        <f t="shared" si="15"/>
        <v>534</v>
      </c>
      <c r="U18" s="184">
        <f t="shared" si="15"/>
        <v>521</v>
      </c>
      <c r="V18" s="184">
        <f t="shared" si="15"/>
        <v>781</v>
      </c>
      <c r="W18" s="184">
        <f t="shared" si="15"/>
        <v>92</v>
      </c>
      <c r="X18" s="184">
        <f t="shared" si="15"/>
        <v>337</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765</v>
      </c>
      <c r="AZ18" s="184">
        <f>SUBTOTAL(9,AZ14:AZ17)</f>
        <v>534</v>
      </c>
      <c r="BA18" s="184">
        <f>SUBTOTAL(9,BA14:BA17)</f>
        <v>521</v>
      </c>
      <c r="BB18" s="184">
        <f>SUBTOTAL(9,BB14:BB17)</f>
        <v>781</v>
      </c>
      <c r="BC18" s="184">
        <f>SUBTOTAL(9,BC14:BC17)</f>
        <v>92</v>
      </c>
      <c r="BD18" s="205">
        <f>IF(ISNUMBER(BA18/AZ18),BA18/AZ18," - ")</f>
        <v>0.97565543071161054</v>
      </c>
      <c r="BE18" s="206">
        <f>IF(ISNUMBER(BB18/BA18),BB18/BA18, " - ")</f>
        <v>1.4990403071017275</v>
      </c>
      <c r="BF18" s="206">
        <f>IF(ISNUMBER(BC18/BA18),BC18/BA18, " - ")</f>
        <v>0.1765834932821497</v>
      </c>
      <c r="BG18" s="207">
        <f>IF(ISNUMBER((AY18+AZ18)/BA18),(AY18+AZ18)/BA18," - ")</f>
        <v>2.4932821497120923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1822</v>
      </c>
      <c r="J19" s="134">
        <f t="shared" si="18"/>
        <v>1669</v>
      </c>
      <c r="K19" s="134">
        <f t="shared" si="18"/>
        <v>1448</v>
      </c>
      <c r="L19" s="134">
        <f t="shared" si="18"/>
        <v>2043</v>
      </c>
      <c r="M19" s="134">
        <f t="shared" si="18"/>
        <v>349</v>
      </c>
      <c r="N19" s="134">
        <f t="shared" si="18"/>
        <v>799</v>
      </c>
      <c r="O19" s="134">
        <f t="shared" si="18"/>
        <v>338</v>
      </c>
      <c r="P19" s="134">
        <f t="shared" si="18"/>
        <v>222</v>
      </c>
      <c r="Q19" s="134">
        <f t="shared" si="18"/>
        <v>166</v>
      </c>
      <c r="R19" s="134">
        <f t="shared" si="18"/>
        <v>2189</v>
      </c>
      <c r="S19" s="134">
        <f t="shared" si="18"/>
        <v>1916</v>
      </c>
      <c r="T19" s="134">
        <f t="shared" si="18"/>
        <v>1286</v>
      </c>
      <c r="U19" s="134">
        <f t="shared" si="18"/>
        <v>1303</v>
      </c>
      <c r="V19" s="134">
        <f t="shared" si="18"/>
        <v>1902</v>
      </c>
      <c r="W19" s="134">
        <f t="shared" si="18"/>
        <v>313</v>
      </c>
      <c r="X19" s="134">
        <f t="shared" si="18"/>
        <v>709</v>
      </c>
      <c r="Y19" s="134">
        <f t="shared" si="18"/>
        <v>41</v>
      </c>
      <c r="Z19" s="134">
        <f t="shared" si="18"/>
        <v>59</v>
      </c>
      <c r="AA19" s="134">
        <f t="shared" si="18"/>
        <v>55</v>
      </c>
      <c r="AB19" s="134">
        <f t="shared" si="18"/>
        <v>45</v>
      </c>
      <c r="AC19" s="134">
        <f t="shared" si="18"/>
        <v>0</v>
      </c>
      <c r="AD19" s="134">
        <f t="shared" si="18"/>
        <v>1</v>
      </c>
      <c r="AE19" s="134">
        <f t="shared" si="18"/>
        <v>1</v>
      </c>
      <c r="AF19" s="134">
        <f t="shared" si="18"/>
        <v>0</v>
      </c>
      <c r="AG19" s="134">
        <f t="shared" si="18"/>
        <v>44</v>
      </c>
      <c r="AH19" s="134">
        <f t="shared" si="18"/>
        <v>55</v>
      </c>
      <c r="AI19" s="134">
        <f t="shared" si="18"/>
        <v>72</v>
      </c>
      <c r="AJ19" s="134">
        <f t="shared" si="18"/>
        <v>27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1960</v>
      </c>
      <c r="AZ19" s="134">
        <f>SUBTOTAL(9,AZ9:AZ18)</f>
        <v>1341</v>
      </c>
      <c r="BA19" s="134">
        <f>SUBTOTAL(9,BA9:BA18)</f>
        <v>1375</v>
      </c>
      <c r="BB19" s="134">
        <f>SUBTOTAL(9,BB9:BB18)</f>
        <v>1929</v>
      </c>
      <c r="BC19" s="135">
        <f>SUBTOTAL(9,BC9:BC18)</f>
        <v>468</v>
      </c>
      <c r="BD19" s="213">
        <f>IF(ISNUMBER(BA19/AZ19),BA19/AZ19," - ")</f>
        <v>1.0253542132736764</v>
      </c>
      <c r="BE19" s="210">
        <f>IF(ISNUMBER(BB19/BA19),BB19/BA19, " - ")</f>
        <v>1.4029090909090909</v>
      </c>
      <c r="BF19" s="210">
        <f>IF(ISNUMBER(BC19/BA19),BC19/BA19, " - ")</f>
        <v>0.34036363636363637</v>
      </c>
      <c r="BG19" s="135">
        <f>IF(ISNUMBER((AY19+AZ19)/BA19),(AY19+AZ19)/BA19," - ")</f>
        <v>2.4007272727272726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aVCvqbXwMPMG7BcAMTkKM5QXuQMa5WLiR59IB4YerksJn5wQOddiOIWMQc++9NxenMTL+gHNreY+aywpM+Lqw==" saltValue="0wdPo3NgloFURaLdLyE/P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dBwZRg0U61E1/qYRHls4eQ0e5LRkfke5mxmHieCO7dvf3Hi0uZP7fiU50O75aNMkyESITxjYybe9dZbPHCWOQ==" saltValue="TZpPDL5j41hpfaZj4jaIE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MIERES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10</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10.000000000000002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59</v>
      </c>
      <c r="O12" s="334"/>
      <c r="P12" s="334"/>
      <c r="Q12" s="226">
        <f>IF(ISNUMBER(Datos!P12),Datos!P12,0)</f>
        <v>202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1996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271</v>
      </c>
      <c r="BD12" s="229">
        <f>IF(ISNUMBER(Datos!N12),Datos!N12," - ")</f>
        <v>463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0.78456318914334178</v>
      </c>
      <c r="BH12" s="260">
        <f>IF(ISNUMBER(((IF(J_V="SI",Datos!L12/Datos!K12,(Datos!L12+Datos!AB12)/(Datos!K12+Datos!AA12)))*11)/factor_trimestre),((IF(J_V="SI",Datos!L12/Datos!K12,(Datos!L12+Datos!AB12)/(Datos!K12+Datos!AA12)))*11)/factor_trimestre," - ")</f>
        <v>4.0216216216216223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2.88659793814433E-2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59</v>
      </c>
      <c r="O13" s="900">
        <f t="shared" si="0"/>
        <v>0</v>
      </c>
      <c r="P13" s="900">
        <f t="shared" si="0"/>
        <v>0</v>
      </c>
      <c r="Q13" s="899">
        <f t="shared" si="0"/>
        <v>202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146</v>
      </c>
      <c r="AD13" s="899">
        <f t="shared" si="1"/>
        <v>0</v>
      </c>
      <c r="AE13" s="899">
        <f t="shared" si="1"/>
        <v>0</v>
      </c>
      <c r="AF13" s="899">
        <f t="shared" si="1"/>
        <v>10</v>
      </c>
      <c r="AG13" s="899">
        <f t="shared" si="1"/>
        <v>0</v>
      </c>
      <c r="AH13" s="899">
        <f t="shared" si="1"/>
        <v>45</v>
      </c>
      <c r="AI13" s="899">
        <f t="shared" si="1"/>
        <v>0</v>
      </c>
      <c r="AJ13" s="899">
        <f t="shared" si="1"/>
        <v>0</v>
      </c>
      <c r="AK13" s="899">
        <f t="shared" si="1"/>
        <v>0</v>
      </c>
      <c r="AL13" s="899">
        <f t="shared" si="1"/>
        <v>0</v>
      </c>
      <c r="AM13" s="899">
        <f t="shared" si="1"/>
        <v>1998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273</v>
      </c>
      <c r="BD13" s="899">
        <f t="shared" si="1"/>
        <v>463</v>
      </c>
      <c r="BE13" s="899">
        <f t="shared" si="1"/>
        <v>0</v>
      </c>
      <c r="BF13" s="899">
        <f t="shared" si="1"/>
        <v>0</v>
      </c>
      <c r="BG13" s="899">
        <f>IF(ISNUMBER(Datos!K13/Datos!J13),Datos!K13/Datos!J13," - ")</f>
        <v>0.7766903914590747</v>
      </c>
      <c r="BH13" s="903">
        <f>IF(ISNUMBER(((Datos!L13/Datos!K13)*11)/factor_trimestre),((Datos!L13/Datos!K13)*11)/factor_trimestre," - ")</f>
        <v>4.1408934707903784</v>
      </c>
      <c r="BI13" s="899">
        <f>IF(ISNUMBER('Resol  Asuntos'!D13/NºAsuntos!G13),'Resol  Asuntos'!D13/NºAsuntos!G13," - ")</f>
        <v>0.29418103448275862</v>
      </c>
      <c r="BJ13" s="899" t="str">
        <f>IF(ISNUMBER(Datos!CI13/Datos!CJ13),Datos!CI13/Datos!CJ13," - ")</f>
        <v xml:space="preserve"> - </v>
      </c>
      <c r="BK13" s="899">
        <f>SUBTOTAL(9,BK8:BK12)</f>
        <v>0</v>
      </c>
      <c r="BL13" s="899">
        <f>IF(ISNUMBER((I13-AB13+L13)/(F13)),(I13-AB13+L13)/(F13)," - ")</f>
        <v>-0.33333333333333331</v>
      </c>
      <c r="BM13" s="904">
        <f>SUBTOTAL(9,BM9:BM12)</f>
        <v>2.88659793814433E-2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826</v>
      </c>
      <c r="G16" s="598">
        <f>IF(ISNUMBER(IF(D_I="SI",Datos!I16,Datos!I16+Datos!AC16)),IF(D_I="SI",Datos!I16,Datos!I16+Datos!AC16)," - ")</f>
        <v>826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531</v>
      </c>
      <c r="AC16" s="226">
        <f>IF(ISNUMBER(Datos!Q16),Datos!Q16," - ")</f>
        <v>20</v>
      </c>
      <c r="AD16" s="334"/>
      <c r="AE16" s="484"/>
      <c r="AF16" s="596">
        <f>IF(ISNUMBER(IF(D_I="SI",Datos!L16,Datos!L16+Datos!AF16)),IF(D_I="SI",Datos!L16,Datos!L16+Datos!AF16)," - ")</f>
        <v>784</v>
      </c>
      <c r="AG16" s="334"/>
      <c r="AH16" s="334"/>
      <c r="AI16" s="334"/>
      <c r="AJ16" s="334"/>
      <c r="AK16" s="334"/>
      <c r="AL16" s="479"/>
      <c r="AM16" s="335">
        <f>IF(ISNUMBER(Datos!R16),Datos!R16," - ")</f>
        <v>191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71</v>
      </c>
      <c r="BD16" s="229">
        <f>IF(ISNUMBER(Datos!N16),Datos!N16," - ")</f>
        <v>313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1.0858895705521472</v>
      </c>
      <c r="BH16" s="260">
        <f>IF(ISNUMBER(((IF(D_I="SI",Datos!L16/Datos!K16,(Datos!L16+Datos!AF16)/(Datos!K16+Datos!AE16)))*11)/factor_trimestre),((IF(D_I="SI",Datos!L16/Datos!K16,(Datos!L16+Datos!AF16)/(Datos!K16+Datos!AE16)))*11)/factor_trimestre," - ")</f>
        <v>4.4293785310734473</v>
      </c>
      <c r="BI16" s="243">
        <f>IF(ISNUMBER('Resol  Asuntos'!D16/NºAsuntos!G16),'Resol  Asuntos'!D16/NºAsuntos!G16," - ")</f>
        <v>0.13370998116760829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v>
      </c>
      <c r="AC17" s="226">
        <f>IF(ISNUMBER(Datos!Q17),Datos!Q17," - ")</f>
        <v>0</v>
      </c>
      <c r="AD17" s="334"/>
      <c r="AE17" s="484"/>
      <c r="AF17" s="332">
        <f>IF(ISNUMBER(Datos!L17),Datos!L17,"-")</f>
        <v>54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0.7857142857142857</v>
      </c>
      <c r="BH17" s="260">
        <f>IF(ISNUMBER(((IF(D_I="SI",Datos!L17/Datos!K17,(Datos!L17+Datos!AF17)/(Datos!K17+Datos!AE17)))*11)/factor_trimestre),((IF(D_I="SI",Datos!L17/Datos!K17,(Datos!L17+Datos!AF17)/(Datos!K17+Datos!AE17)))*11)/factor_trimestre," - ")</f>
        <v>3.6818181818181821</v>
      </c>
      <c r="BI17" s="243">
        <f>IF(ISNUMBER('Resol  Asuntos'!D17/NºAsuntos!G17),'Resol  Asuntos'!D17/NºAsuntos!G17," - ")</f>
        <v>0.11363636363636363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826</v>
      </c>
      <c r="G18" s="898">
        <f>SUBTOTAL(9,G15:G17)</f>
        <v>868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575</v>
      </c>
      <c r="AC18" s="899">
        <f t="shared" si="4"/>
        <v>20</v>
      </c>
      <c r="AD18" s="899">
        <f t="shared" si="4"/>
        <v>0</v>
      </c>
      <c r="AE18" s="899">
        <f t="shared" si="4"/>
        <v>0</v>
      </c>
      <c r="AF18" s="899">
        <f t="shared" si="4"/>
        <v>838</v>
      </c>
      <c r="AG18" s="899">
        <f t="shared" si="4"/>
        <v>0</v>
      </c>
      <c r="AH18" s="899">
        <f t="shared" si="4"/>
        <v>0</v>
      </c>
      <c r="AI18" s="899">
        <f t="shared" si="4"/>
        <v>0</v>
      </c>
      <c r="AJ18" s="899">
        <f t="shared" si="4"/>
        <v>0</v>
      </c>
      <c r="AK18" s="899">
        <f t="shared" si="4"/>
        <v>0</v>
      </c>
      <c r="AL18" s="899">
        <f t="shared" si="4"/>
        <v>0</v>
      </c>
      <c r="AM18" s="899">
        <f t="shared" si="4"/>
        <v>191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76</v>
      </c>
      <c r="BD18" s="899">
        <f t="shared" si="4"/>
        <v>336</v>
      </c>
      <c r="BE18" s="899">
        <f t="shared" si="4"/>
        <v>0</v>
      </c>
      <c r="BF18" s="899">
        <f t="shared" si="4"/>
        <v>0</v>
      </c>
      <c r="BG18" s="899">
        <f>IF(ISNUMBER(Datos!K18/Datos!J18),Datos!K18/Datos!J18," - ")</f>
        <v>1.0550458715596329</v>
      </c>
      <c r="BH18" s="903">
        <f>IF(ISNUMBER(((Datos!L18/Datos!K18)*11)/factor_trimestre),((Datos!L18/Datos!K18)*11)/factor_trimestre," - ")</f>
        <v>4.3721739130434782</v>
      </c>
      <c r="BI18" s="899">
        <f>SUBTOTAL(9,BI15:BI17)</f>
        <v>0.24734634480397194</v>
      </c>
      <c r="BJ18" s="899">
        <f>SUBTOTAL(9,BJ15:BJ17)</f>
        <v>0</v>
      </c>
      <c r="BK18" s="899">
        <f>SUBTOTAL(9,BK15:BK17)</f>
        <v>0</v>
      </c>
      <c r="BL18" s="899">
        <f>IF(ISNUMBER((I18-AB18+L18)/(F18)),(I18-AB18+L18)/(F18)," - ")</f>
        <v>-0.69612590799031482</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835</v>
      </c>
      <c r="G19" s="820">
        <f t="shared" si="6"/>
        <v>877</v>
      </c>
      <c r="H19" s="822">
        <f t="shared" si="6"/>
        <v>0</v>
      </c>
      <c r="I19" s="820">
        <f t="shared" si="6"/>
        <v>0</v>
      </c>
      <c r="J19" s="822">
        <f t="shared" si="6"/>
        <v>0</v>
      </c>
      <c r="K19" s="822">
        <f t="shared" si="6"/>
        <v>0</v>
      </c>
      <c r="L19" s="881">
        <f t="shared" si="6"/>
        <v>0</v>
      </c>
      <c r="M19" s="881">
        <f t="shared" si="6"/>
        <v>0</v>
      </c>
      <c r="N19" s="881">
        <f t="shared" si="6"/>
        <v>59</v>
      </c>
      <c r="O19" s="881">
        <f t="shared" si="6"/>
        <v>0</v>
      </c>
      <c r="P19" s="881">
        <f t="shared" si="6"/>
        <v>0</v>
      </c>
      <c r="Q19" s="822">
        <f t="shared" si="6"/>
        <v>222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578</v>
      </c>
      <c r="AC19" s="821">
        <f t="shared" si="7"/>
        <v>166</v>
      </c>
      <c r="AD19" s="821">
        <f t="shared" si="7"/>
        <v>0</v>
      </c>
      <c r="AE19" s="821">
        <f t="shared" si="7"/>
        <v>0</v>
      </c>
      <c r="AF19" s="828">
        <f t="shared" si="7"/>
        <v>848</v>
      </c>
      <c r="AG19" s="828">
        <f t="shared" si="7"/>
        <v>0</v>
      </c>
      <c r="AH19" s="828">
        <f t="shared" si="7"/>
        <v>45</v>
      </c>
      <c r="AI19" s="828">
        <f t="shared" si="7"/>
        <v>0</v>
      </c>
      <c r="AJ19" s="821">
        <f t="shared" si="7"/>
        <v>0</v>
      </c>
      <c r="AK19" s="828">
        <f t="shared" si="7"/>
        <v>0</v>
      </c>
      <c r="AL19" s="828">
        <f t="shared" si="7"/>
        <v>0</v>
      </c>
      <c r="AM19" s="828">
        <f t="shared" si="7"/>
        <v>2189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349</v>
      </c>
      <c r="BD19" s="820">
        <f t="shared" si="7"/>
        <v>799</v>
      </c>
      <c r="BE19" s="820">
        <f t="shared" si="7"/>
        <v>0</v>
      </c>
      <c r="BF19" s="830">
        <f t="shared" si="7"/>
        <v>0</v>
      </c>
      <c r="BG19" s="915">
        <f>IF(ISNUMBER(Datos!K19/Datos!J19),Datos!K19/Datos!J19," - ")</f>
        <v>0.86758538046734568</v>
      </c>
      <c r="BH19" s="915">
        <f>IF(ISNUMBER(((Datos!L19/Datos!K19)*11)/factor_trimestre),((Datos!L19/Datos!K19)*11)/factor_trimestre," - ")</f>
        <v>4.2327348066298347</v>
      </c>
      <c r="BI19" s="813">
        <f>IF(ISNUMBER(Datos!J19/Datos!I19),Datos!J19/Datos!I19," - ")</f>
        <v>0.91602634467618005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-0.69221556886227542</v>
      </c>
      <c r="BM19" s="889">
        <f>IF(ISNUMBER((Datos!P19-Datos!Q19+R19)/(Datos!R19-Datos!P19+Datos!Q19-R19)),(Datos!P19-Datos!Q19+R19)/(Datos!R19-Datos!P19+Datos!Q19-R19)," - ")</f>
        <v>2.6254102203469291E-2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471.69516992792427</v>
      </c>
      <c r="G21" s="552">
        <f>IF(ISNUMBER(STDEV(G8:G18)),STDEV(G8:G18),"-")</f>
        <v>453.41007928805465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294.64928304681143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124.59159950280221</v>
      </c>
      <c r="BD21" s="551"/>
      <c r="BE21" s="551">
        <f>IF(ISNUMBER(STDEV(BE8:BE18)),STDEV(BE8:BE18),"-")</f>
        <v>0</v>
      </c>
      <c r="BF21" s="556">
        <f>IF(ISNUMBER(STDEV(BF8:BF18)),STDEV(BF8:BF18),"-")</f>
        <v>0</v>
      </c>
      <c r="BG21" s="775">
        <f>IF(ISNUMBER(STDEV(BG8:BG18)),STDEV(BG8:BG18),"-")</f>
        <v>0.15382267269407537</v>
      </c>
      <c r="BH21" s="776">
        <f>IF(ISNUMBER(STDEV(BH8:BH18)),STDEV(BH8:BH18),"-")</f>
        <v>2.4117685619338762</v>
      </c>
      <c r="BI21" s="249">
        <f>IF(ISNUMBER(STDEV(BI8:BI18)),STDEV(BI8:BI18),"-")</f>
        <v>8.7433478335219694E-2</v>
      </c>
      <c r="BJ21" s="230" t="str">
        <f>IF(ISNUMBER(BL21/BM21),BL21/BM21," - ")</f>
        <v xml:space="preserve"> - </v>
      </c>
      <c r="BK21" s="575"/>
      <c r="BL21" s="559">
        <f>IF(ISNUMBER(STDEV(BL8:BL18)),STDEV(BL8:BL18),"-")</f>
        <v>0.25653308970407851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BRrUzXhHU4LdkaU4OWL7rdMYG7ZiZQf3x2Nv80fFOENaDllDnbH0i6OWT7up4gEy3Nv4C5v/bVMXyys03aOKmA==" saltValue="9qWLXTSFpRse8VPi50As4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MIERES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10</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10.000000000000002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146</v>
      </c>
      <c r="AA12" s="332" t="str">
        <f>IF(ISNUMBER(IF(J_V="SI",Datos!L12,Datos!L12+Datos!AB12)-IF(Monitorios="SI",Datos!CD12,0)),
                          IF(J_V="SI",Datos!L12,Datos!L12+Datos!AB12)-IF(Monitorios="SI",Datos!CD12,0),
                          " - ")</f>
        <v xml:space="preserve"> - </v>
      </c>
      <c r="AB12" s="334"/>
      <c r="AC12" s="334"/>
      <c r="AD12" s="484"/>
      <c r="AE12" s="484">
        <f>IF(ISNUMBER(Datos!R12),Datos!R12," - ")</f>
        <v>1996</v>
      </c>
      <c r="AF12" s="229" t="str">
        <f>IF(ISNUMBER(Datos!BV12),Datos!BV12," - ")</f>
        <v xml:space="preserve"> - </v>
      </c>
      <c r="AG12" s="225" t="str">
        <f>IF(ISNUMBER(Datos!DV12),Datos!DV12," - ")</f>
        <v xml:space="preserve"> - </v>
      </c>
      <c r="AH12" s="298"/>
      <c r="AI12" s="227"/>
      <c r="AJ12" s="225">
        <f>IF(ISNUMBER(Datos!M12),Datos!M12," - ")</f>
        <v>271</v>
      </c>
      <c r="AK12" s="229">
        <f>IF(ISNUMBER(Datos!N12),Datos!N12," - ")</f>
        <v>463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4.0216216216216223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2.88659793814433E-2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202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146</v>
      </c>
      <c r="AA13" s="900">
        <f t="shared" si="2"/>
        <v>10</v>
      </c>
      <c r="AB13" s="900">
        <f t="shared" si="2"/>
        <v>0</v>
      </c>
      <c r="AC13" s="900">
        <f t="shared" si="2"/>
        <v>0</v>
      </c>
      <c r="AD13" s="900">
        <f t="shared" si="2"/>
        <v>0</v>
      </c>
      <c r="AE13" s="900">
        <f t="shared" si="2"/>
        <v>1998</v>
      </c>
      <c r="AF13" s="908">
        <f t="shared" si="2"/>
        <v>0</v>
      </c>
      <c r="AG13" s="908">
        <f t="shared" si="2"/>
        <v>0</v>
      </c>
      <c r="AH13" s="908">
        <f t="shared" si="2"/>
        <v>0</v>
      </c>
      <c r="AI13" s="908">
        <f t="shared" si="2"/>
        <v>0</v>
      </c>
      <c r="AJ13" s="908">
        <f t="shared" si="2"/>
        <v>273</v>
      </c>
      <c r="AK13" s="908">
        <f t="shared" si="2"/>
        <v>463</v>
      </c>
      <c r="AL13" s="908">
        <f t="shared" si="2"/>
        <v>0</v>
      </c>
      <c r="AM13" s="908">
        <f t="shared" si="2"/>
        <v>0</v>
      </c>
      <c r="AN13" s="908">
        <f t="shared" si="2"/>
        <v>0</v>
      </c>
      <c r="AO13" s="904">
        <f>IF(ISNUMBER(((NºAsuntos!I13/NºAsuntos!G13)*11)/factor_trimestre),((NºAsuntos!I13/NºAsuntos!G13)*11)/factor_trimestre," - ")</f>
        <v>4.0409482758620694</v>
      </c>
      <c r="AP13" s="910" t="str">
        <f>IF(ISNUMBER(Datos!CI13/Datos!CJ13),Datos!CI13/Datos!CJ13," - ")</f>
        <v xml:space="preserve"> - </v>
      </c>
      <c r="AQ13" s="928">
        <f t="shared" ref="AQ13:AV13" si="3">SUBTOTAL(9,AQ9:AQ12)</f>
        <v>0</v>
      </c>
      <c r="AR13" s="928">
        <f t="shared" si="3"/>
        <v>2.88659793814433E-2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826</v>
      </c>
      <c r="G16" s="225">
        <f>IF(ISNUMBER(IF(D_I="SI",Datos!I16,Datos!I16+Datos!AC16)),IF(D_I="SI",Datos!I16,Datos!I16+Datos!AC16)," - ")</f>
        <v>826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531</v>
      </c>
      <c r="Z16" s="619">
        <f>IF(ISNUMBER(Datos!Q16),Datos!Q16," - ")</f>
        <v>20</v>
      </c>
      <c r="AA16" s="332">
        <f>IF(ISNUMBER(IF(D_I="SI",Datos!L16,Datos!L16+Datos!AF16)),IF(D_I="SI",Datos!L16,Datos!L16+Datos!AF16)," - ")</f>
        <v>784</v>
      </c>
      <c r="AB16" s="334"/>
      <c r="AC16" s="334"/>
      <c r="AD16" s="484"/>
      <c r="AE16" s="484">
        <f>IF(ISNUMBER(Datos!R16),Datos!R16," - ")</f>
        <v>191</v>
      </c>
      <c r="AF16" s="229" t="str">
        <f>IF(ISNUMBER(Datos!BV16),Datos!BV16," - ")</f>
        <v xml:space="preserve"> - </v>
      </c>
      <c r="AG16" s="225"/>
      <c r="AH16" s="298"/>
      <c r="AI16" s="227"/>
      <c r="AJ16" s="225">
        <f>IF(ISNUMBER(Datos!M16),Datos!M16," - ")</f>
        <v>71</v>
      </c>
      <c r="AK16" s="229">
        <f>IF(ISNUMBER(Datos!N16),Datos!N16," - ")</f>
        <v>313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4.4293785310734473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v>
      </c>
      <c r="Z17" s="619">
        <f>IF(ISNUMBER(Datos!Q17),Datos!Q17," - ")</f>
        <v>0</v>
      </c>
      <c r="AA17" s="332">
        <f>IF(ISNUMBER(Datos!L17),Datos!L17,"-")</f>
        <v>54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3.6818181818181821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826</v>
      </c>
      <c r="G18" s="898">
        <f>SUBTOTAL(9,G15:G17)</f>
        <v>868</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575</v>
      </c>
      <c r="Z18" s="932">
        <f t="shared" si="5"/>
        <v>20</v>
      </c>
      <c r="AA18" s="932">
        <f t="shared" si="5"/>
        <v>838</v>
      </c>
      <c r="AB18" s="932">
        <f t="shared" si="5"/>
        <v>0</v>
      </c>
      <c r="AC18" s="932">
        <f t="shared" si="5"/>
        <v>0</v>
      </c>
      <c r="AD18" s="932">
        <f t="shared" si="5"/>
        <v>0</v>
      </c>
      <c r="AE18" s="932">
        <f t="shared" si="5"/>
        <v>191</v>
      </c>
      <c r="AF18" s="932">
        <f t="shared" si="5"/>
        <v>0</v>
      </c>
      <c r="AG18" s="932">
        <f t="shared" si="5"/>
        <v>0</v>
      </c>
      <c r="AH18" s="932">
        <f t="shared" si="5"/>
        <v>0</v>
      </c>
      <c r="AI18" s="932">
        <f t="shared" si="5"/>
        <v>0</v>
      </c>
      <c r="AJ18" s="932">
        <f t="shared" si="5"/>
        <v>76</v>
      </c>
      <c r="AK18" s="932">
        <f t="shared" si="5"/>
        <v>336</v>
      </c>
      <c r="AL18" s="932">
        <f t="shared" si="5"/>
        <v>0</v>
      </c>
      <c r="AM18" s="932">
        <f t="shared" si="5"/>
        <v>0</v>
      </c>
      <c r="AN18" s="932">
        <f t="shared" si="5"/>
        <v>0</v>
      </c>
      <c r="AO18" s="934">
        <f>IF(ISNUMBER(((NºAsuntos!I18/NºAsuntos!G18)*11)/factor_trimestre),((NºAsuntos!I18/NºAsuntos!G18)*11)/factor_trimestre," - ")</f>
        <v>4.3721739130434782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835</v>
      </c>
      <c r="G19" s="820">
        <f t="shared" si="7"/>
        <v>877</v>
      </c>
      <c r="H19" s="821">
        <f t="shared" si="7"/>
        <v>0</v>
      </c>
      <c r="I19" s="820">
        <f t="shared" si="7"/>
        <v>0</v>
      </c>
      <c r="J19" s="822">
        <f t="shared" si="7"/>
        <v>0</v>
      </c>
      <c r="K19" s="820">
        <f t="shared" si="7"/>
        <v>0</v>
      </c>
      <c r="L19" s="823">
        <f t="shared" si="7"/>
        <v>0</v>
      </c>
      <c r="M19" s="820">
        <f t="shared" si="7"/>
        <v>0</v>
      </c>
      <c r="N19" s="821">
        <f t="shared" si="7"/>
        <v>222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578</v>
      </c>
      <c r="Z19" s="827">
        <f t="shared" si="8"/>
        <v>166</v>
      </c>
      <c r="AA19" s="828">
        <f t="shared" si="8"/>
        <v>848</v>
      </c>
      <c r="AB19" s="828">
        <f t="shared" si="8"/>
        <v>0</v>
      </c>
      <c r="AC19" s="828">
        <f t="shared" si="8"/>
        <v>0</v>
      </c>
      <c r="AD19" s="829">
        <f t="shared" si="8"/>
        <v>0</v>
      </c>
      <c r="AE19" s="829">
        <f t="shared" si="8"/>
        <v>2189</v>
      </c>
      <c r="AF19" s="830">
        <f t="shared" si="8"/>
        <v>0</v>
      </c>
      <c r="AG19" s="831">
        <f t="shared" si="8"/>
        <v>0</v>
      </c>
      <c r="AH19" s="832">
        <f t="shared" si="8"/>
        <v>0</v>
      </c>
      <c r="AI19" s="830">
        <f t="shared" si="8"/>
        <v>0</v>
      </c>
      <c r="AJ19" s="820">
        <f t="shared" si="8"/>
        <v>349</v>
      </c>
      <c r="AK19" s="820">
        <f t="shared" si="8"/>
        <v>799</v>
      </c>
      <c r="AL19" s="820">
        <f t="shared" si="8"/>
        <v>0</v>
      </c>
      <c r="AM19" s="833">
        <f t="shared" si="8"/>
        <v>0</v>
      </c>
      <c r="AN19" s="823">
        <f>IF(ISNUMBER(Datos!K19/Datos!J19),Datos!K19/Datos!J19," - ")</f>
        <v>0.86758538046734568</v>
      </c>
      <c r="AO19" s="823">
        <f>IF(ISNUMBER(FIND("06",Criterios!A8,1)),(IF(ISNUMBER(((Datos!R19/Datos!Q19)*11)/factor_trimestre),((Datos!R19/Datos!Q19)*11)/factor_trimestre," - ")),(IF(ISNUMBER(((Datos!L19/Datos!K19)*11)/factor_trimestre),((Datos!L19/Datos!K19)*11)/factor_trimestre," - ")))</f>
        <v>4.2327348066298347</v>
      </c>
      <c r="AP19" s="834" t="str">
        <f>IF(ISNUMBER(Datos!CI19/Datos!CJ19),Datos!CI19/Datos!CJ19," - ")</f>
        <v xml:space="preserve"> - </v>
      </c>
      <c r="AQ19" s="834">
        <f>IF(OR(ISNUMBER(FIND("01",Criterios!A8,1)),ISNUMBER(FIND("02",Criterios!A8,1)),ISNUMBER(FIND("03",Criterios!A8,1)),ISNUMBER(FIND("04",Criterios!A8,1))),(J19-Y19+K19)/(F19-K19),(I19-Y19+K19)/(F19-K19))</f>
        <v>-0.69221556886227542</v>
      </c>
      <c r="AR19" s="834">
        <f>IF(ISNUMBER((Datos!P19-Datos!Q19+O19)/(Datos!R19-Datos!P19+Datos!Q19-O19)),(Datos!P19-Datos!Q19+O19)/(Datos!R19-Datos!P19+Datos!Q19-O19)," - ")</f>
        <v>2.6254102203469291E-2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471.69516992792427</v>
      </c>
      <c r="G21" s="552">
        <f>IF(ISNUMBER(STDEV(G8:G18)),STDEV(G8:G18),"-")</f>
        <v>453.41007928805465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124.59159950280221</v>
      </c>
      <c r="AK21" s="252"/>
      <c r="AL21" s="252">
        <f>IF(ISNUMBER(STDEV(AL8:AL18)),STDEV(AL8:AL18),"-")</f>
        <v>0</v>
      </c>
      <c r="AM21" s="254">
        <f>IF(ISNUMBER(STDEV(AM8:AM18)),STDEV(AM8:AM18),"-")</f>
        <v>0</v>
      </c>
      <c r="AN21" s="539">
        <f>IF(ISNUMBER(STDEV(AN8:AN18)),STDEV(AN8:AN18),"-")</f>
        <v>0</v>
      </c>
      <c r="AO21" s="540">
        <f>IF(ISNUMBER(STDEV(AO8:AO18)),STDEV(AO8:AO18),"-")</f>
        <v>2.4201118588630002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RKyn/uzEYpX4hurG/No+cfrrDnjoe0RKlnV/RHdSSFncm/opgzxuH9wig7KwkZ9fmYHgDe2cm5hnQsGIOYvlpA==" saltValue="RZqdVDaEFZd3r0nehX65i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chcjL27tvbBRT3ct0YA2MRJSs4rhLwXRxacix15ABzuIfAVNoE0CRVkG2JsF58UDE8rXcx6NQID5oLWJWWJUQ==" saltValue="ukXbAIYT//ZDRGNip7gD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ebSQPrcNeN4S76vt9lV2LhfZr1pEnk4gsBT0EEr0jP3YGRZvYEfBNovwiogkKGadq0L1aWjz9TpymEERmemEQ==" saltValue="sfignjks5s7v9h1QQa3xS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MIERES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0.29418103448275862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0.20801740437923219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lUwgc3UoAgTYTWNtFd0gGUJwQmTN4HJK+enbBISAAJvUE3RBzwdL7YT6xV2x3Rk64UfPX6fdUqvh2/x111IJIQ==" saltValue="/WyU8huS8sI/c8SrhjcrV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IFZAWgr7fls82bttLhCvEf90u9FHMssT8rv6uZ/af9r8YMAND7d/SeHkiZBn8K/1pyU1nTUEVYNa8wc6QMw/nw==" saltValue="GNf5Wz7RLmG1xDnwzUp32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MIERES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10.000000000000002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271</v>
      </c>
      <c r="AM12" s="690">
        <f>IF(ISNUMBER(Datos!N12+DatosP!N16),Datos!N12+DatosP!N16," - ")</f>
        <v>463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4.0216216216216223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2.88659793814433E-2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202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146</v>
      </c>
      <c r="AE13" s="939">
        <f t="shared" si="1"/>
        <v>0</v>
      </c>
      <c r="AF13" s="939">
        <f t="shared" si="1"/>
        <v>10</v>
      </c>
      <c r="AG13" s="939">
        <f t="shared" si="1"/>
        <v>0</v>
      </c>
      <c r="AH13" s="939">
        <f t="shared" si="1"/>
        <v>1996</v>
      </c>
      <c r="AI13" s="939">
        <f t="shared" si="1"/>
        <v>0</v>
      </c>
      <c r="AJ13" s="939">
        <f t="shared" si="1"/>
        <v>0</v>
      </c>
      <c r="AK13" s="939">
        <f t="shared" si="1"/>
        <v>0</v>
      </c>
      <c r="AL13" s="939">
        <f t="shared" si="1"/>
        <v>273</v>
      </c>
      <c r="AM13" s="939">
        <f t="shared" si="1"/>
        <v>463</v>
      </c>
      <c r="AN13" s="939">
        <f t="shared" si="1"/>
        <v>0</v>
      </c>
      <c r="AO13" s="939">
        <f t="shared" si="1"/>
        <v>0</v>
      </c>
      <c r="AP13" s="944">
        <f>IF(ISNUMBER(((Datos!L13/Datos!K13)*11)/factor_trimestre),((Datos!L13/Datos!K13)*11)/factor_trimestre," - ")</f>
        <v>4.1408934707903784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2.88659793814433E-2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4.3721739130434782</v>
      </c>
      <c r="AQ18" s="944">
        <f>IF(ISNUMBER(((Datos!M18/Datos!L18)*11)/factor_trimestre),((Datos!M18/Datos!L18)*11)/factor_trimestre," - ")</f>
        <v>0.27207637231503579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-0.18269230769230768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202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146</v>
      </c>
      <c r="AE19" s="957">
        <f t="shared" si="5"/>
        <v>0</v>
      </c>
      <c r="AF19" s="958">
        <f t="shared" si="5"/>
        <v>10</v>
      </c>
      <c r="AG19" s="958">
        <f t="shared" si="5"/>
        <v>0</v>
      </c>
      <c r="AH19" s="958">
        <f t="shared" si="5"/>
        <v>1996</v>
      </c>
      <c r="AI19" s="958">
        <f t="shared" si="5"/>
        <v>0</v>
      </c>
      <c r="AJ19" s="959">
        <f t="shared" si="5"/>
        <v>0</v>
      </c>
      <c r="AK19" s="959">
        <f t="shared" si="5"/>
        <v>0</v>
      </c>
      <c r="AL19" s="951">
        <f t="shared" si="5"/>
        <v>273</v>
      </c>
      <c r="AM19" s="951">
        <f t="shared" si="5"/>
        <v>463</v>
      </c>
      <c r="AN19" s="951">
        <f t="shared" si="5"/>
        <v>0</v>
      </c>
      <c r="AO19" s="951">
        <f t="shared" si="5"/>
        <v>0</v>
      </c>
      <c r="AP19" s="951">
        <f>IF(ISNUMBER(((Datos!L19/Datos!K19)*11)/factor_trimestre),((Datos!L19/Datos!K19)*11)/factor_trimestre," - ")</f>
        <v>4.2327348066298347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2.6254102203469291E-2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156.46618377996782</v>
      </c>
      <c r="AM21" s="736"/>
      <c r="AN21" s="736">
        <f>IF(ISNUMBER(STDEV(AN8:AN18)),STDEV(AN8:AN18),"-")</f>
        <v>0</v>
      </c>
      <c r="AO21" s="742">
        <f>IF(ISNUMBER(STDEV(AO8:AO18)),STDEV(AO8:AO18),"-")</f>
        <v>0</v>
      </c>
      <c r="AP21" s="779">
        <f>IF(ISNUMBER(STDEV(AP8:AP18)),STDEV(AP8:AP18),"-")</f>
        <v>2.9145206459312112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KaGUlE5Nsj55nrxX9Hu1NTaYZXzdVGYIkJOe+RKcn3L2mGXd7ogNiqQtJxEkCbJR5rGKWTJxEtKyySsxD4HjHw==" saltValue="bvZh+EOyIN5RFYyTylLSK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